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 Agenda Transparencia\2022\03 marzo\22\"/>
    </mc:Choice>
  </mc:AlternateContent>
  <bookViews>
    <workbookView xWindow="-105" yWindow="-105" windowWidth="20730" windowHeight="11760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1" i="18" l="1"/>
  <c r="H280" i="18"/>
  <c r="H267" i="18"/>
  <c r="H283" i="18"/>
  <c r="H285" i="18"/>
  <c r="H287" i="18"/>
  <c r="H284" i="18"/>
  <c r="H281" i="18"/>
  <c r="H286" i="18"/>
  <c r="H282" i="18"/>
  <c r="H272" i="18"/>
  <c r="H316" i="18"/>
  <c r="H263" i="18"/>
  <c r="H257" i="18"/>
  <c r="H269" i="18"/>
  <c r="H193" i="18"/>
  <c r="H191" i="18"/>
  <c r="H188" i="18"/>
  <c r="F109" i="18"/>
  <c r="L109" i="18" s="1"/>
  <c r="F206" i="18"/>
  <c r="T109" i="18" l="1"/>
  <c r="U109" i="18" s="1"/>
  <c r="L206" i="18"/>
  <c r="N206" i="18" s="1"/>
  <c r="T206" i="18" s="1"/>
  <c r="U206" i="18" s="1"/>
  <c r="F174" i="18"/>
  <c r="G182" i="18"/>
  <c r="F173" i="18"/>
  <c r="L174" i="18" l="1"/>
  <c r="N174" i="18" s="1"/>
  <c r="L173" i="18"/>
  <c r="H345" i="18"/>
  <c r="G225" i="18"/>
  <c r="H225" i="18"/>
  <c r="M225" i="18"/>
  <c r="P225" i="18"/>
  <c r="Q225" i="18"/>
  <c r="R225" i="18"/>
  <c r="S225" i="18"/>
  <c r="F224" i="18"/>
  <c r="G446" i="18"/>
  <c r="G385" i="18"/>
  <c r="G376" i="18"/>
  <c r="G366" i="18"/>
  <c r="G358" i="18"/>
  <c r="G346" i="18"/>
  <c r="G320" i="18"/>
  <c r="G309" i="18"/>
  <c r="G302" i="18"/>
  <c r="G295" i="18"/>
  <c r="G248" i="18"/>
  <c r="G235" i="18"/>
  <c r="G219" i="18"/>
  <c r="G209" i="18"/>
  <c r="G195" i="18"/>
  <c r="G167" i="18"/>
  <c r="G159" i="18"/>
  <c r="G151" i="18"/>
  <c r="G139" i="18"/>
  <c r="G122" i="18"/>
  <c r="G112" i="18"/>
  <c r="G104" i="18"/>
  <c r="G97" i="18"/>
  <c r="G90" i="18"/>
  <c r="G83" i="18"/>
  <c r="G76" i="18"/>
  <c r="G56" i="18"/>
  <c r="G49" i="18"/>
  <c r="G41" i="18"/>
  <c r="G403" i="18"/>
  <c r="G397" i="18"/>
  <c r="G30" i="18"/>
  <c r="G19" i="18"/>
  <c r="Q19" i="18"/>
  <c r="Q446" i="18"/>
  <c r="Q403" i="18"/>
  <c r="Q397" i="18"/>
  <c r="Q385" i="18"/>
  <c r="Q376" i="18"/>
  <c r="Q366" i="18"/>
  <c r="Q358" i="18"/>
  <c r="Q346" i="18"/>
  <c r="Q320" i="18"/>
  <c r="Q309" i="18"/>
  <c r="Q302" i="18"/>
  <c r="Q295" i="18"/>
  <c r="Q248" i="18"/>
  <c r="Q235" i="18"/>
  <c r="Q219" i="18"/>
  <c r="Q209" i="18"/>
  <c r="Q195" i="18"/>
  <c r="Q182" i="18"/>
  <c r="Q167" i="18"/>
  <c r="Q159" i="18"/>
  <c r="Q151" i="18"/>
  <c r="Q139" i="18"/>
  <c r="Q122" i="18"/>
  <c r="Q112" i="18"/>
  <c r="Q104" i="18"/>
  <c r="Q97" i="18"/>
  <c r="Q90" i="18"/>
  <c r="Q83" i="18"/>
  <c r="Q76" i="18"/>
  <c r="Q56" i="18"/>
  <c r="Q49" i="18"/>
  <c r="Q41" i="18"/>
  <c r="Q30" i="18"/>
  <c r="H346" i="18"/>
  <c r="F425" i="18"/>
  <c r="T425" i="18" s="1"/>
  <c r="U425" i="18" s="1"/>
  <c r="F331" i="18"/>
  <c r="L331" i="18" s="1"/>
  <c r="N331" i="18" s="1"/>
  <c r="T331" i="18" s="1"/>
  <c r="U331" i="18" s="1"/>
  <c r="Q13" i="22" s="1"/>
  <c r="F307" i="18"/>
  <c r="K319" i="18" s="1"/>
  <c r="F230" i="18"/>
  <c r="O307" i="18" s="1"/>
  <c r="F214" i="18"/>
  <c r="T214" i="18" s="1"/>
  <c r="U214" i="18" s="1"/>
  <c r="Q11" i="22" s="1"/>
  <c r="F95" i="18"/>
  <c r="F134" i="18"/>
  <c r="L134" i="18" s="1"/>
  <c r="N134" i="18" s="1"/>
  <c r="F108" i="18"/>
  <c r="L108" i="18" s="1"/>
  <c r="N108" i="18" s="1"/>
  <c r="F269" i="18"/>
  <c r="L269" i="18" s="1"/>
  <c r="N269" i="18" s="1"/>
  <c r="F315" i="18"/>
  <c r="K268" i="18" s="1"/>
  <c r="F253" i="18"/>
  <c r="T253" i="18" s="1"/>
  <c r="F71" i="18"/>
  <c r="O71" i="18" s="1"/>
  <c r="T71" i="18" s="1"/>
  <c r="U71" i="18" s="1"/>
  <c r="F301" i="18"/>
  <c r="L301" i="18" s="1"/>
  <c r="N301" i="18" s="1"/>
  <c r="F300" i="18"/>
  <c r="L300" i="18" s="1"/>
  <c r="N300" i="18" s="1"/>
  <c r="R302" i="18"/>
  <c r="F402" i="18"/>
  <c r="L402" i="18" s="1"/>
  <c r="F401" i="18"/>
  <c r="F325" i="18"/>
  <c r="F314" i="18"/>
  <c r="F257" i="18"/>
  <c r="L257" i="18" s="1"/>
  <c r="F89" i="18"/>
  <c r="L89" i="18" s="1"/>
  <c r="L90" i="18" s="1"/>
  <c r="F70" i="18"/>
  <c r="F63" i="18"/>
  <c r="F205" i="18"/>
  <c r="T205" i="18" s="1"/>
  <c r="F164" i="18"/>
  <c r="F156" i="18"/>
  <c r="T156" i="18" s="1"/>
  <c r="U156" i="18" s="1"/>
  <c r="F128" i="18"/>
  <c r="L128" i="18" s="1"/>
  <c r="F127" i="18"/>
  <c r="L127" i="18" s="1"/>
  <c r="N127" i="18" s="1"/>
  <c r="F129" i="18"/>
  <c r="L129" i="18" s="1"/>
  <c r="N129" i="18" s="1"/>
  <c r="F130" i="18"/>
  <c r="L130" i="18" s="1"/>
  <c r="N130" i="18" s="1"/>
  <c r="F131" i="18"/>
  <c r="J131" i="18" s="1"/>
  <c r="F132" i="18"/>
  <c r="L132" i="18" s="1"/>
  <c r="N132" i="18" s="1"/>
  <c r="F133" i="18"/>
  <c r="J133" i="18" s="1"/>
  <c r="F135" i="18"/>
  <c r="J135" i="18" s="1"/>
  <c r="F136" i="18"/>
  <c r="T136" i="18" s="1"/>
  <c r="U136" i="18" s="1"/>
  <c r="F137" i="18"/>
  <c r="T137" i="18" s="1"/>
  <c r="U137" i="18" s="1"/>
  <c r="F138" i="18"/>
  <c r="T138" i="18" s="1"/>
  <c r="U138" i="18" s="1"/>
  <c r="N408" i="18"/>
  <c r="F408" i="18"/>
  <c r="L408" i="18" s="1"/>
  <c r="F407" i="18"/>
  <c r="L407" i="18" s="1"/>
  <c r="F313" i="18"/>
  <c r="F409" i="18"/>
  <c r="F410" i="18"/>
  <c r="F411" i="18"/>
  <c r="T411" i="18" s="1"/>
  <c r="F413" i="18"/>
  <c r="T413" i="18" s="1"/>
  <c r="U413" i="18" s="1"/>
  <c r="F414" i="18"/>
  <c r="F415" i="18"/>
  <c r="T415" i="18" s="1"/>
  <c r="U415" i="18" s="1"/>
  <c r="F416" i="18"/>
  <c r="F417" i="18"/>
  <c r="T417" i="18" s="1"/>
  <c r="F418" i="18"/>
  <c r="T418" i="18" s="1"/>
  <c r="F419" i="18"/>
  <c r="L419" i="18" s="1"/>
  <c r="F420" i="18"/>
  <c r="F421" i="18"/>
  <c r="T421" i="18" s="1"/>
  <c r="U421" i="18" s="1"/>
  <c r="F422" i="18"/>
  <c r="T422" i="18" s="1"/>
  <c r="U422" i="18" s="1"/>
  <c r="F423" i="18"/>
  <c r="F424" i="18"/>
  <c r="T424" i="18" s="1"/>
  <c r="U424" i="18" s="1"/>
  <c r="F429" i="18"/>
  <c r="F430" i="18"/>
  <c r="T430" i="18" s="1"/>
  <c r="U430" i="18" s="1"/>
  <c r="F431" i="18"/>
  <c r="T431" i="18" s="1"/>
  <c r="F432" i="18"/>
  <c r="T432" i="18" s="1"/>
  <c r="U432" i="18" s="1"/>
  <c r="F433" i="18"/>
  <c r="T433" i="18" s="1"/>
  <c r="U433" i="18" s="1"/>
  <c r="F434" i="18"/>
  <c r="F435" i="18"/>
  <c r="T435" i="18" s="1"/>
  <c r="U435" i="18" s="1"/>
  <c r="F436" i="18"/>
  <c r="T436" i="18" s="1"/>
  <c r="U436" i="18" s="1"/>
  <c r="F437" i="18"/>
  <c r="L437" i="18" s="1"/>
  <c r="F438" i="18"/>
  <c r="F439" i="18"/>
  <c r="L439" i="18" s="1"/>
  <c r="R439" i="18"/>
  <c r="F440" i="18"/>
  <c r="F48" i="18"/>
  <c r="O352" i="18" s="1"/>
  <c r="F441" i="18"/>
  <c r="T441" i="18" s="1"/>
  <c r="F442" i="18"/>
  <c r="T442" i="18" s="1"/>
  <c r="U442" i="18" s="1"/>
  <c r="F443" i="18"/>
  <c r="T443" i="18" s="1"/>
  <c r="U443" i="18" s="1"/>
  <c r="F445" i="18"/>
  <c r="T445" i="18" s="1"/>
  <c r="U445" i="18" s="1"/>
  <c r="F357" i="18"/>
  <c r="T357" i="18" s="1"/>
  <c r="U357" i="18" s="1"/>
  <c r="F351" i="18"/>
  <c r="F352" i="18"/>
  <c r="L352" i="18" s="1"/>
  <c r="N352" i="18" s="1"/>
  <c r="T353" i="18"/>
  <c r="U353" i="18" s="1"/>
  <c r="F354" i="18"/>
  <c r="L354" i="18" s="1"/>
  <c r="N354" i="18" s="1"/>
  <c r="F355" i="18"/>
  <c r="L355" i="18" s="1"/>
  <c r="N355" i="18" s="1"/>
  <c r="F326" i="18"/>
  <c r="L326" i="18" s="1"/>
  <c r="N326" i="18" s="1"/>
  <c r="F327" i="18"/>
  <c r="L327" i="18" s="1"/>
  <c r="N327" i="18" s="1"/>
  <c r="F328" i="18"/>
  <c r="T328" i="18" s="1"/>
  <c r="F329" i="18"/>
  <c r="I331" i="18" s="1"/>
  <c r="F333" i="18"/>
  <c r="L333" i="18" s="1"/>
  <c r="N333" i="18" s="1"/>
  <c r="T333" i="18" s="1"/>
  <c r="U333" i="18" s="1"/>
  <c r="F334" i="18"/>
  <c r="O334" i="18" s="1"/>
  <c r="F335" i="18"/>
  <c r="L335" i="18" s="1"/>
  <c r="N335" i="18" s="1"/>
  <c r="F336" i="18"/>
  <c r="O336" i="18" s="1"/>
  <c r="F337" i="18"/>
  <c r="L337" i="18" s="1"/>
  <c r="N337" i="18" s="1"/>
  <c r="F338" i="18"/>
  <c r="O338" i="18" s="1"/>
  <c r="F339" i="18"/>
  <c r="L339" i="18" s="1"/>
  <c r="N339" i="18" s="1"/>
  <c r="F340" i="18"/>
  <c r="F341" i="18"/>
  <c r="L341" i="18" s="1"/>
  <c r="N341" i="18" s="1"/>
  <c r="F342" i="18"/>
  <c r="L342" i="18" s="1"/>
  <c r="N342" i="18" s="1"/>
  <c r="F343" i="18"/>
  <c r="L343" i="18" s="1"/>
  <c r="N343" i="18" s="1"/>
  <c r="F344" i="18"/>
  <c r="L344" i="18" s="1"/>
  <c r="N344" i="18" s="1"/>
  <c r="F345" i="18"/>
  <c r="O313" i="18"/>
  <c r="F316" i="18"/>
  <c r="L316" i="18" s="1"/>
  <c r="N316" i="18" s="1"/>
  <c r="F317" i="18"/>
  <c r="L317" i="18" s="1"/>
  <c r="N317" i="18" s="1"/>
  <c r="F318" i="18"/>
  <c r="L318" i="18" s="1"/>
  <c r="N318" i="18" s="1"/>
  <c r="F319" i="18"/>
  <c r="F264" i="18"/>
  <c r="L264" i="18" s="1"/>
  <c r="N264" i="18" s="1"/>
  <c r="F258" i="18"/>
  <c r="O272" i="18" s="1"/>
  <c r="F265" i="18"/>
  <c r="F266" i="18"/>
  <c r="L266" i="18" s="1"/>
  <c r="N266" i="18" s="1"/>
  <c r="F267" i="18"/>
  <c r="L267" i="18" s="1"/>
  <c r="N267" i="18" s="1"/>
  <c r="F268" i="18"/>
  <c r="F270" i="18"/>
  <c r="T270" i="18" s="1"/>
  <c r="U270" i="18" s="1"/>
  <c r="F271" i="18"/>
  <c r="F272" i="18"/>
  <c r="K272" i="18" s="1"/>
  <c r="F273" i="18"/>
  <c r="L273" i="18" s="1"/>
  <c r="N273" i="18" s="1"/>
  <c r="F274" i="18"/>
  <c r="L274" i="18" s="1"/>
  <c r="N274" i="18" s="1"/>
  <c r="F275" i="18"/>
  <c r="O274" i="18" s="1"/>
  <c r="F276" i="18"/>
  <c r="F278" i="18"/>
  <c r="L278" i="18" s="1"/>
  <c r="N278" i="18" s="1"/>
  <c r="F279" i="18"/>
  <c r="I279" i="18" s="1"/>
  <c r="J279" i="18" s="1"/>
  <c r="F280" i="18"/>
  <c r="L280" i="18" s="1"/>
  <c r="N280" i="18" s="1"/>
  <c r="F281" i="18"/>
  <c r="K280" i="18" s="1"/>
  <c r="F282" i="18"/>
  <c r="L282" i="18" s="1"/>
  <c r="N282" i="18" s="1"/>
  <c r="T282" i="18" s="1"/>
  <c r="U282" i="18" s="1"/>
  <c r="F283" i="18"/>
  <c r="T283" i="18" s="1"/>
  <c r="F284" i="18"/>
  <c r="L284" i="18" s="1"/>
  <c r="N284" i="18" s="1"/>
  <c r="T284" i="18" s="1"/>
  <c r="F285" i="18"/>
  <c r="L285" i="18" s="1"/>
  <c r="N285" i="18" s="1"/>
  <c r="F286" i="18"/>
  <c r="T286" i="18" s="1"/>
  <c r="U286" i="18" s="1"/>
  <c r="F287" i="18"/>
  <c r="T287" i="18" s="1"/>
  <c r="U287" i="18" s="1"/>
  <c r="F288" i="18"/>
  <c r="T288" i="18" s="1"/>
  <c r="U288" i="18" s="1"/>
  <c r="F289" i="18"/>
  <c r="T289" i="18" s="1"/>
  <c r="F291" i="18"/>
  <c r="L291" i="18" s="1"/>
  <c r="N291" i="18" s="1"/>
  <c r="F292" i="18"/>
  <c r="L292" i="18" s="1"/>
  <c r="N292" i="18" s="1"/>
  <c r="F293" i="18"/>
  <c r="J293" i="18" s="1"/>
  <c r="F252" i="18"/>
  <c r="L252" i="18" s="1"/>
  <c r="N252" i="18" s="1"/>
  <c r="F254" i="18"/>
  <c r="L254" i="18" s="1"/>
  <c r="N254" i="18" s="1"/>
  <c r="F255" i="18"/>
  <c r="F259" i="18"/>
  <c r="L259" i="18" s="1"/>
  <c r="N259" i="18" s="1"/>
  <c r="F260" i="18"/>
  <c r="I260" i="18" s="1"/>
  <c r="J260" i="18" s="1"/>
  <c r="F261" i="18"/>
  <c r="K263" i="18" s="1"/>
  <c r="F262" i="18"/>
  <c r="L262" i="18" s="1"/>
  <c r="N262" i="18" s="1"/>
  <c r="F263" i="18"/>
  <c r="L263" i="18" s="1"/>
  <c r="N263" i="18" s="1"/>
  <c r="F294" i="18"/>
  <c r="L294" i="18" s="1"/>
  <c r="N294" i="18" s="1"/>
  <c r="F213" i="18"/>
  <c r="F199" i="18"/>
  <c r="O199" i="18" s="1"/>
  <c r="F215" i="18"/>
  <c r="L215" i="18" s="1"/>
  <c r="N215" i="18" s="1"/>
  <c r="F217" i="18"/>
  <c r="L217" i="18" s="1"/>
  <c r="N217" i="18" s="1"/>
  <c r="F202" i="18"/>
  <c r="O202" i="18" s="1"/>
  <c r="F218" i="18"/>
  <c r="L218" i="18" s="1"/>
  <c r="N218" i="18" s="1"/>
  <c r="T218" i="18" s="1"/>
  <c r="U218" i="18" s="1"/>
  <c r="F186" i="18"/>
  <c r="F200" i="18"/>
  <c r="F201" i="18"/>
  <c r="T201" i="18" s="1"/>
  <c r="U201" i="18" s="1"/>
  <c r="F203" i="18"/>
  <c r="L203" i="18" s="1"/>
  <c r="N203" i="18" s="1"/>
  <c r="F207" i="18"/>
  <c r="O207" i="18" s="1"/>
  <c r="F208" i="18"/>
  <c r="F165" i="18"/>
  <c r="F166" i="18"/>
  <c r="L166" i="18" s="1"/>
  <c r="N166" i="18" s="1"/>
  <c r="T166" i="18" s="1"/>
  <c r="U166" i="18" s="1"/>
  <c r="F157" i="18"/>
  <c r="L157" i="18" s="1"/>
  <c r="N157" i="18" s="1"/>
  <c r="F158" i="18"/>
  <c r="L158" i="18" s="1"/>
  <c r="N158" i="18" s="1"/>
  <c r="F110" i="18"/>
  <c r="F111" i="18"/>
  <c r="L111" i="18" s="1"/>
  <c r="N111" i="18" s="1"/>
  <c r="F88" i="18"/>
  <c r="L88" i="18" s="1"/>
  <c r="N88" i="18" s="1"/>
  <c r="T88" i="18" s="1"/>
  <c r="U88" i="18" s="1"/>
  <c r="F61" i="18"/>
  <c r="L61" i="18" s="1"/>
  <c r="N61" i="18" s="1"/>
  <c r="F62" i="18"/>
  <c r="L62" i="18" s="1"/>
  <c r="F74" i="18"/>
  <c r="L74" i="18" s="1"/>
  <c r="N74" i="18" s="1"/>
  <c r="F60" i="18"/>
  <c r="J60" i="18" s="1"/>
  <c r="F68" i="18"/>
  <c r="L68" i="18" s="1"/>
  <c r="F69" i="18"/>
  <c r="T69" i="18" s="1"/>
  <c r="U69" i="18" s="1"/>
  <c r="F72" i="18"/>
  <c r="L72" i="18" s="1"/>
  <c r="N72" i="18" s="1"/>
  <c r="F75" i="18"/>
  <c r="O72" i="18" s="1"/>
  <c r="F73" i="18"/>
  <c r="L73" i="18" s="1"/>
  <c r="N73" i="18" s="1"/>
  <c r="F390" i="18"/>
  <c r="L390" i="18" s="1"/>
  <c r="N390" i="18" s="1"/>
  <c r="F391" i="18"/>
  <c r="L391" i="18" s="1"/>
  <c r="N391" i="18" s="1"/>
  <c r="T391" i="18" s="1"/>
  <c r="U391" i="18" s="1"/>
  <c r="F392" i="18"/>
  <c r="F375" i="18"/>
  <c r="O393" i="18" s="1"/>
  <c r="F393" i="18"/>
  <c r="L393" i="18" s="1"/>
  <c r="N393" i="18" s="1"/>
  <c r="F394" i="18"/>
  <c r="L394" i="18" s="1"/>
  <c r="N394" i="18" s="1"/>
  <c r="F395" i="18"/>
  <c r="O395" i="18"/>
  <c r="F396" i="18"/>
  <c r="L396" i="18" s="1"/>
  <c r="N396" i="18" s="1"/>
  <c r="F381" i="18"/>
  <c r="F382" i="18"/>
  <c r="L382" i="18" s="1"/>
  <c r="N382" i="18" s="1"/>
  <c r="F383" i="18"/>
  <c r="T383" i="18" s="1"/>
  <c r="U383" i="18" s="1"/>
  <c r="F371" i="18"/>
  <c r="K409" i="18" s="1"/>
  <c r="F372" i="18"/>
  <c r="L372" i="18" s="1"/>
  <c r="N372" i="18" s="1"/>
  <c r="F373" i="18"/>
  <c r="L373" i="18" s="1"/>
  <c r="N373" i="18" s="1"/>
  <c r="F374" i="18"/>
  <c r="L374" i="18" s="1"/>
  <c r="N374" i="18" s="1"/>
  <c r="T374" i="18" s="1"/>
  <c r="F363" i="18"/>
  <c r="L363" i="18" s="1"/>
  <c r="N363" i="18" s="1"/>
  <c r="F364" i="18"/>
  <c r="F365" i="18"/>
  <c r="L365" i="18" s="1"/>
  <c r="N365" i="18" s="1"/>
  <c r="F308" i="18"/>
  <c r="L308" i="18" s="1"/>
  <c r="N308" i="18" s="1"/>
  <c r="F82" i="18"/>
  <c r="L82" i="18" s="1"/>
  <c r="N82" i="18" s="1"/>
  <c r="F81" i="18"/>
  <c r="F54" i="18"/>
  <c r="F55" i="18"/>
  <c r="L55" i="18" s="1"/>
  <c r="N55" i="18" s="1"/>
  <c r="F53" i="18"/>
  <c r="L53" i="18" s="1"/>
  <c r="N53" i="18" s="1"/>
  <c r="F188" i="18"/>
  <c r="O190" i="18" s="1"/>
  <c r="F191" i="18"/>
  <c r="L191" i="18" s="1"/>
  <c r="F193" i="18"/>
  <c r="L193" i="18" s="1"/>
  <c r="F187" i="18"/>
  <c r="F189" i="18"/>
  <c r="F190" i="18"/>
  <c r="F194" i="18"/>
  <c r="L194" i="18" s="1"/>
  <c r="F240" i="18"/>
  <c r="O240" i="18"/>
  <c r="O248" i="18" s="1"/>
  <c r="F241" i="18"/>
  <c r="L241" i="18" s="1"/>
  <c r="N241" i="18" s="1"/>
  <c r="F242" i="18"/>
  <c r="L242" i="18" s="1"/>
  <c r="N242" i="18" s="1"/>
  <c r="F243" i="18"/>
  <c r="F244" i="18"/>
  <c r="L244" i="18" s="1"/>
  <c r="N244" i="18" s="1"/>
  <c r="T244" i="18" s="1"/>
  <c r="U244" i="18" s="1"/>
  <c r="F245" i="18"/>
  <c r="T245" i="18" s="1"/>
  <c r="U245" i="18" s="1"/>
  <c r="F246" i="18"/>
  <c r="T246" i="18" s="1"/>
  <c r="U246" i="18" s="1"/>
  <c r="F247" i="18"/>
  <c r="T247" i="18" s="1"/>
  <c r="L230" i="18"/>
  <c r="N230" i="18" s="1"/>
  <c r="F231" i="18"/>
  <c r="F232" i="18"/>
  <c r="T232" i="18" s="1"/>
  <c r="U232" i="18" s="1"/>
  <c r="F234" i="18"/>
  <c r="F172" i="18"/>
  <c r="F177" i="18"/>
  <c r="O177" i="18" s="1"/>
  <c r="F175" i="18"/>
  <c r="F176" i="18"/>
  <c r="I176" i="18" s="1"/>
  <c r="J176" i="18" s="1"/>
  <c r="F179" i="18"/>
  <c r="F180" i="18"/>
  <c r="L180" i="18" s="1"/>
  <c r="N180" i="18" s="1"/>
  <c r="F181" i="18"/>
  <c r="K181" i="18" s="1"/>
  <c r="F143" i="18"/>
  <c r="F144" i="18"/>
  <c r="I143" i="18" s="1"/>
  <c r="F145" i="18"/>
  <c r="L145" i="18" s="1"/>
  <c r="N145" i="18" s="1"/>
  <c r="T145" i="18" s="1"/>
  <c r="U145" i="18" s="1"/>
  <c r="F146" i="18"/>
  <c r="L146" i="18" s="1"/>
  <c r="N146" i="18" s="1"/>
  <c r="T146" i="18" s="1"/>
  <c r="F147" i="18"/>
  <c r="L147" i="18" s="1"/>
  <c r="N147" i="18" s="1"/>
  <c r="F148" i="18"/>
  <c r="F149" i="18"/>
  <c r="L149" i="18" s="1"/>
  <c r="N149" i="18" s="1"/>
  <c r="T149" i="18" s="1"/>
  <c r="U149" i="18" s="1"/>
  <c r="F150" i="18"/>
  <c r="L150" i="18" s="1"/>
  <c r="N150" i="18" s="1"/>
  <c r="F116" i="18"/>
  <c r="F117" i="18"/>
  <c r="L117" i="18" s="1"/>
  <c r="N117" i="18" s="1"/>
  <c r="F118" i="18"/>
  <c r="F119" i="18"/>
  <c r="F120" i="18"/>
  <c r="L120" i="18" s="1"/>
  <c r="N120" i="18" s="1"/>
  <c r="T120" i="18" s="1"/>
  <c r="F121" i="18"/>
  <c r="L121" i="18" s="1"/>
  <c r="N121" i="18" s="1"/>
  <c r="F101" i="18"/>
  <c r="F102" i="18"/>
  <c r="L102" i="18" s="1"/>
  <c r="N102" i="18" s="1"/>
  <c r="F103" i="18"/>
  <c r="F96" i="18"/>
  <c r="L96" i="18" s="1"/>
  <c r="N96" i="18" s="1"/>
  <c r="F45" i="18"/>
  <c r="J45" i="18" s="1"/>
  <c r="F46" i="18"/>
  <c r="F47" i="18"/>
  <c r="J47" i="18" s="1"/>
  <c r="F34" i="18"/>
  <c r="F35" i="18"/>
  <c r="L35" i="18" s="1"/>
  <c r="N35" i="18" s="1"/>
  <c r="F36" i="18"/>
  <c r="T36" i="18" s="1"/>
  <c r="U36" i="18" s="1"/>
  <c r="F37" i="18"/>
  <c r="L37" i="18" s="1"/>
  <c r="F38" i="18"/>
  <c r="L38" i="18" s="1"/>
  <c r="N38" i="18" s="1"/>
  <c r="F39" i="18"/>
  <c r="L39" i="18" s="1"/>
  <c r="N39" i="18" s="1"/>
  <c r="F40" i="18"/>
  <c r="T40" i="18" s="1"/>
  <c r="U40" i="18" s="1"/>
  <c r="F23" i="18"/>
  <c r="I23" i="18" s="1"/>
  <c r="F24" i="18"/>
  <c r="F25" i="18"/>
  <c r="K26" i="18" s="1"/>
  <c r="F26" i="18"/>
  <c r="F27" i="18"/>
  <c r="F28" i="18"/>
  <c r="L28" i="18" s="1"/>
  <c r="N28" i="18" s="1"/>
  <c r="T28" i="18" s="1"/>
  <c r="U28" i="18" s="1"/>
  <c r="F29" i="18"/>
  <c r="L29" i="18" s="1"/>
  <c r="N29" i="18" s="1"/>
  <c r="T29" i="18" s="1"/>
  <c r="U29" i="18" s="1"/>
  <c r="F8" i="18"/>
  <c r="I8" i="18" s="1"/>
  <c r="F9" i="18"/>
  <c r="L9" i="18" s="1"/>
  <c r="N9" i="18" s="1"/>
  <c r="F10" i="18"/>
  <c r="F11" i="18"/>
  <c r="O11" i="18" s="1"/>
  <c r="F12" i="18"/>
  <c r="O13" i="18" s="1"/>
  <c r="F13" i="18"/>
  <c r="L13" i="18" s="1"/>
  <c r="F14" i="18"/>
  <c r="F15" i="18"/>
  <c r="F16" i="18"/>
  <c r="K16" i="18" s="1"/>
  <c r="F18" i="18"/>
  <c r="H56" i="18"/>
  <c r="M56" i="18"/>
  <c r="P56" i="18"/>
  <c r="R56" i="18"/>
  <c r="S56" i="18"/>
  <c r="P248" i="18"/>
  <c r="R248" i="18"/>
  <c r="S248" i="18"/>
  <c r="H446" i="18"/>
  <c r="P302" i="18"/>
  <c r="S302" i="18"/>
  <c r="K383" i="18"/>
  <c r="I383" i="18"/>
  <c r="K180" i="18"/>
  <c r="I180" i="18"/>
  <c r="I407" i="18"/>
  <c r="H209" i="18"/>
  <c r="P209" i="18"/>
  <c r="R209" i="18"/>
  <c r="S209" i="18"/>
  <c r="S49" i="18"/>
  <c r="R49" i="18"/>
  <c r="P49" i="18"/>
  <c r="H49" i="18"/>
  <c r="H219" i="18"/>
  <c r="P219" i="18"/>
  <c r="R219" i="18"/>
  <c r="S219" i="18"/>
  <c r="L432" i="18"/>
  <c r="A7" i="22"/>
  <c r="I7" i="22" s="1"/>
  <c r="P195" i="18"/>
  <c r="R195" i="18"/>
  <c r="S195" i="18"/>
  <c r="H235" i="18"/>
  <c r="P235" i="18"/>
  <c r="R235" i="18"/>
  <c r="S235" i="18"/>
  <c r="P346" i="18"/>
  <c r="S122" i="18"/>
  <c r="P122" i="18"/>
  <c r="H104" i="18"/>
  <c r="S76" i="18"/>
  <c r="P76" i="18"/>
  <c r="S41" i="18"/>
  <c r="P41" i="18"/>
  <c r="P30" i="18"/>
  <c r="S19" i="18"/>
  <c r="P19" i="18"/>
  <c r="H76" i="18"/>
  <c r="H182" i="18"/>
  <c r="H139" i="18"/>
  <c r="H358" i="18"/>
  <c r="I203" i="18"/>
  <c r="F18" i="22"/>
  <c r="H19" i="18"/>
  <c r="H30" i="18"/>
  <c r="H41" i="18"/>
  <c r="H83" i="18"/>
  <c r="H90" i="18"/>
  <c r="H97" i="18"/>
  <c r="H112" i="18"/>
  <c r="H122" i="18"/>
  <c r="H151" i="18"/>
  <c r="H159" i="18"/>
  <c r="H248" i="18"/>
  <c r="H302" i="18"/>
  <c r="H309" i="18"/>
  <c r="H320" i="18"/>
  <c r="H366" i="18"/>
  <c r="H376" i="18"/>
  <c r="H385" i="18"/>
  <c r="H397" i="18"/>
  <c r="H403" i="18"/>
  <c r="L353" i="18"/>
  <c r="M97" i="18"/>
  <c r="M104" i="18"/>
  <c r="M122" i="18"/>
  <c r="M182" i="18"/>
  <c r="M195" i="18"/>
  <c r="M248" i="18"/>
  <c r="M302" i="18"/>
  <c r="M309" i="18"/>
  <c r="M358" i="18"/>
  <c r="M366" i="18"/>
  <c r="M376" i="18"/>
  <c r="M385" i="18"/>
  <c r="M397" i="18"/>
  <c r="O112" i="18"/>
  <c r="O139" i="18"/>
  <c r="O167" i="18"/>
  <c r="P295" i="18"/>
  <c r="P83" i="18"/>
  <c r="P90" i="18"/>
  <c r="P97" i="18"/>
  <c r="P104" i="18"/>
  <c r="P112" i="18"/>
  <c r="P139" i="18"/>
  <c r="P151" i="18"/>
  <c r="P159" i="18"/>
  <c r="P167" i="18"/>
  <c r="P309" i="18"/>
  <c r="P320" i="18"/>
  <c r="P358" i="18"/>
  <c r="P366" i="18"/>
  <c r="P376" i="18"/>
  <c r="P385" i="18"/>
  <c r="P397" i="18"/>
  <c r="P403" i="18"/>
  <c r="P446" i="18"/>
  <c r="R19" i="18"/>
  <c r="R30" i="18"/>
  <c r="R41" i="18"/>
  <c r="R76" i="18"/>
  <c r="R83" i="18"/>
  <c r="R90" i="18"/>
  <c r="R97" i="18"/>
  <c r="R104" i="18"/>
  <c r="R112" i="18"/>
  <c r="R122" i="18"/>
  <c r="R139" i="18"/>
  <c r="R151" i="18"/>
  <c r="R159" i="18"/>
  <c r="R167" i="18"/>
  <c r="R182" i="18"/>
  <c r="R295" i="18"/>
  <c r="R309" i="18"/>
  <c r="R320" i="18"/>
  <c r="R346" i="18"/>
  <c r="R358" i="18"/>
  <c r="R366" i="18"/>
  <c r="R376" i="18"/>
  <c r="R385" i="18"/>
  <c r="R397" i="18"/>
  <c r="R403" i="18"/>
  <c r="S30" i="18"/>
  <c r="S83" i="18"/>
  <c r="S90" i="18"/>
  <c r="S97" i="18"/>
  <c r="S104" i="18"/>
  <c r="S112" i="18"/>
  <c r="S139" i="18"/>
  <c r="S151" i="18"/>
  <c r="S159" i="18"/>
  <c r="S167" i="18"/>
  <c r="S182" i="18"/>
  <c r="S309" i="18"/>
  <c r="S320" i="18"/>
  <c r="S358" i="18"/>
  <c r="S366" i="18"/>
  <c r="S376" i="18"/>
  <c r="S385" i="18"/>
  <c r="S397" i="18"/>
  <c r="S403" i="18"/>
  <c r="S446" i="18"/>
  <c r="M19" i="18"/>
  <c r="M83" i="18"/>
  <c r="M112" i="18"/>
  <c r="I345" i="18"/>
  <c r="K345" i="18"/>
  <c r="M151" i="18"/>
  <c r="H167" i="18"/>
  <c r="S295" i="18"/>
  <c r="S346" i="18"/>
  <c r="K175" i="18"/>
  <c r="H295" i="18"/>
  <c r="K275" i="18"/>
  <c r="I313" i="18"/>
  <c r="M139" i="18"/>
  <c r="K157" i="18"/>
  <c r="K144" i="18"/>
  <c r="K328" i="18"/>
  <c r="O159" i="18"/>
  <c r="J101" i="18"/>
  <c r="I232" i="18"/>
  <c r="I270" i="18"/>
  <c r="I410" i="18"/>
  <c r="L137" i="18"/>
  <c r="K217" i="18"/>
  <c r="J130" i="18"/>
  <c r="K276" i="18"/>
  <c r="I144" i="18"/>
  <c r="L69" i="18"/>
  <c r="I263" i="18"/>
  <c r="J263" i="18" s="1"/>
  <c r="O41" i="18"/>
  <c r="I27" i="18"/>
  <c r="J27" i="18" s="1"/>
  <c r="I244" i="18"/>
  <c r="I217" i="18"/>
  <c r="L286" i="18"/>
  <c r="I202" i="18"/>
  <c r="J202" i="18" s="1"/>
  <c r="I392" i="18"/>
  <c r="I111" i="18"/>
  <c r="K396" i="18"/>
  <c r="M346" i="18"/>
  <c r="K270" i="18"/>
  <c r="M41" i="18"/>
  <c r="M159" i="18"/>
  <c r="K445" i="18"/>
  <c r="I438" i="18"/>
  <c r="K431" i="18"/>
  <c r="I384" i="18"/>
  <c r="J384" i="18" s="1"/>
  <c r="K438" i="18"/>
  <c r="K442" i="18"/>
  <c r="M320" i="18"/>
  <c r="K338" i="18"/>
  <c r="I418" i="18"/>
  <c r="K232" i="18"/>
  <c r="M90" i="18"/>
  <c r="K416" i="18"/>
  <c r="I240" i="18"/>
  <c r="K307" i="18"/>
  <c r="K252" i="18"/>
  <c r="K313" i="18"/>
  <c r="I231" i="18"/>
  <c r="K408" i="18"/>
  <c r="I408" i="18"/>
  <c r="L436" i="18"/>
  <c r="M167" i="18"/>
  <c r="K411" i="18"/>
  <c r="I230" i="18"/>
  <c r="K301" i="18"/>
  <c r="K394" i="18"/>
  <c r="K391" i="18"/>
  <c r="L66" i="18"/>
  <c r="J66" i="18"/>
  <c r="M232" i="18"/>
  <c r="M235" i="18" s="1"/>
  <c r="M270" i="18"/>
  <c r="M295" i="18" s="1"/>
  <c r="M411" i="18"/>
  <c r="K410" i="18"/>
  <c r="M410" i="18"/>
  <c r="M446" i="18" s="1"/>
  <c r="K393" i="18"/>
  <c r="I391" i="18"/>
  <c r="K245" i="18"/>
  <c r="M219" i="18"/>
  <c r="M403" i="18"/>
  <c r="M76" i="18"/>
  <c r="M209" i="18"/>
  <c r="N403" i="18"/>
  <c r="L24" i="18" l="1"/>
  <c r="N24" i="18" s="1"/>
  <c r="T24" i="18"/>
  <c r="J166" i="18"/>
  <c r="K292" i="18"/>
  <c r="J244" i="18"/>
  <c r="K315" i="18"/>
  <c r="I282" i="18"/>
  <c r="I272" i="18"/>
  <c r="J272" i="18" s="1"/>
  <c r="K343" i="18"/>
  <c r="I281" i="18"/>
  <c r="J281" i="18" s="1"/>
  <c r="I280" i="18"/>
  <c r="J280" i="18" s="1"/>
  <c r="K281" i="18"/>
  <c r="J35" i="18"/>
  <c r="O275" i="18"/>
  <c r="K335" i="18"/>
  <c r="I318" i="18"/>
  <c r="I343" i="18"/>
  <c r="J343" i="18" s="1"/>
  <c r="I341" i="18"/>
  <c r="J341" i="18" s="1"/>
  <c r="L415" i="18"/>
  <c r="K199" i="18"/>
  <c r="J217" i="18"/>
  <c r="K72" i="18"/>
  <c r="L328" i="18"/>
  <c r="I273" i="18"/>
  <c r="J273" i="18" s="1"/>
  <c r="J345" i="18"/>
  <c r="J383" i="18"/>
  <c r="I109" i="18"/>
  <c r="J109" i="18" s="1"/>
  <c r="K109" i="18"/>
  <c r="I381" i="18"/>
  <c r="K203" i="18"/>
  <c r="I411" i="18"/>
  <c r="J411" i="18" s="1"/>
  <c r="L411" i="18" s="1"/>
  <c r="I252" i="18"/>
  <c r="K407" i="18"/>
  <c r="K446" i="18" s="1"/>
  <c r="K258" i="18"/>
  <c r="L417" i="18"/>
  <c r="K308" i="18"/>
  <c r="K309" i="18" s="1"/>
  <c r="L138" i="18"/>
  <c r="I307" i="18"/>
  <c r="I308" i="18"/>
  <c r="K231" i="18"/>
  <c r="K230" i="18"/>
  <c r="K240" i="18"/>
  <c r="J138" i="18"/>
  <c r="I413" i="18"/>
  <c r="J413" i="18" s="1"/>
  <c r="I258" i="18"/>
  <c r="I292" i="18"/>
  <c r="J292" i="18" s="1"/>
  <c r="I338" i="18"/>
  <c r="J338" i="18" s="1"/>
  <c r="I116" i="18"/>
  <c r="J116" i="18" s="1"/>
  <c r="I110" i="18"/>
  <c r="J110" i="18" s="1"/>
  <c r="K247" i="18"/>
  <c r="K244" i="18"/>
  <c r="K261" i="18"/>
  <c r="I268" i="18"/>
  <c r="K202" i="18"/>
  <c r="K246" i="18"/>
  <c r="I246" i="18"/>
  <c r="J246" i="18" s="1"/>
  <c r="K218" i="18"/>
  <c r="J270" i="18"/>
  <c r="L270" i="18" s="1"/>
  <c r="J232" i="18"/>
  <c r="L232" i="18" s="1"/>
  <c r="K102" i="18"/>
  <c r="L27" i="18"/>
  <c r="N27" i="18" s="1"/>
  <c r="K206" i="18"/>
  <c r="I206" i="18"/>
  <c r="J206" i="18" s="1"/>
  <c r="O95" i="18"/>
  <c r="O231" i="18"/>
  <c r="O230" i="18"/>
  <c r="N112" i="18"/>
  <c r="O217" i="18"/>
  <c r="O252" i="18"/>
  <c r="T252" i="18" s="1"/>
  <c r="U252" i="18" s="1"/>
  <c r="T437" i="18"/>
  <c r="U437" i="18" s="1"/>
  <c r="L433" i="18"/>
  <c r="I394" i="18"/>
  <c r="J394" i="18" s="1"/>
  <c r="J391" i="18"/>
  <c r="K424" i="18"/>
  <c r="I436" i="18"/>
  <c r="J436" i="18" s="1"/>
  <c r="K375" i="18"/>
  <c r="K384" i="18"/>
  <c r="K419" i="18"/>
  <c r="K373" i="18"/>
  <c r="I374" i="18"/>
  <c r="J374" i="18" s="1"/>
  <c r="K435" i="18"/>
  <c r="K415" i="18"/>
  <c r="K421" i="18"/>
  <c r="I422" i="18"/>
  <c r="J422" i="18" s="1"/>
  <c r="K443" i="18"/>
  <c r="K422" i="18"/>
  <c r="K423" i="18"/>
  <c r="K434" i="18"/>
  <c r="K374" i="18"/>
  <c r="I375" i="18"/>
  <c r="J375" i="18" s="1"/>
  <c r="I443" i="18"/>
  <c r="J443" i="18" s="1"/>
  <c r="I415" i="18"/>
  <c r="J415" i="18" s="1"/>
  <c r="I342" i="18"/>
  <c r="J342" i="18" s="1"/>
  <c r="K341" i="18"/>
  <c r="K342" i="18"/>
  <c r="K336" i="18"/>
  <c r="I334" i="18"/>
  <c r="J334" i="18" s="1"/>
  <c r="J333" i="18"/>
  <c r="K291" i="18"/>
  <c r="I291" i="18"/>
  <c r="J291" i="18" s="1"/>
  <c r="K318" i="18"/>
  <c r="I316" i="18"/>
  <c r="J316" i="18" s="1"/>
  <c r="I315" i="18"/>
  <c r="J315" i="18" s="1"/>
  <c r="K316" i="18"/>
  <c r="K317" i="18"/>
  <c r="K120" i="18"/>
  <c r="K266" i="18"/>
  <c r="K271" i="18"/>
  <c r="T293" i="18"/>
  <c r="U293" i="18" s="1"/>
  <c r="K288" i="18"/>
  <c r="I283" i="18"/>
  <c r="J283" i="18" s="1"/>
  <c r="K282" i="18"/>
  <c r="L281" i="18"/>
  <c r="N281" i="18" s="1"/>
  <c r="I288" i="18"/>
  <c r="J288" i="18" s="1"/>
  <c r="K278" i="18"/>
  <c r="K259" i="18"/>
  <c r="K273" i="18"/>
  <c r="O262" i="18"/>
  <c r="T262" i="18" s="1"/>
  <c r="K265" i="18"/>
  <c r="J252" i="18"/>
  <c r="L246" i="18"/>
  <c r="K224" i="18"/>
  <c r="K225" i="18" s="1"/>
  <c r="O187" i="18"/>
  <c r="O173" i="18"/>
  <c r="T173" i="18" s="1"/>
  <c r="U173" i="18" s="1"/>
  <c r="I173" i="18"/>
  <c r="J173" i="18" s="1"/>
  <c r="K173" i="18"/>
  <c r="L187" i="18"/>
  <c r="O175" i="18"/>
  <c r="O174" i="18"/>
  <c r="T174" i="18" s="1"/>
  <c r="U174" i="18" s="1"/>
  <c r="L172" i="18"/>
  <c r="N172" i="18" s="1"/>
  <c r="F182" i="18"/>
  <c r="J144" i="18"/>
  <c r="J143" i="18"/>
  <c r="J136" i="18"/>
  <c r="J108" i="18"/>
  <c r="K253" i="18"/>
  <c r="K174" i="18"/>
  <c r="I174" i="18"/>
  <c r="J174" i="18" s="1"/>
  <c r="I73" i="18"/>
  <c r="J73" i="18" s="1"/>
  <c r="J28" i="18"/>
  <c r="K187" i="18"/>
  <c r="I187" i="18"/>
  <c r="J187" i="18" s="1"/>
  <c r="L445" i="18"/>
  <c r="L441" i="18"/>
  <c r="L429" i="18"/>
  <c r="T429" i="18"/>
  <c r="U429" i="18" s="1"/>
  <c r="L425" i="18"/>
  <c r="L422" i="18"/>
  <c r="T419" i="18"/>
  <c r="F403" i="18"/>
  <c r="J392" i="18"/>
  <c r="I373" i="18"/>
  <c r="J373" i="18" s="1"/>
  <c r="K418" i="18"/>
  <c r="I431" i="18"/>
  <c r="J431" i="18" s="1"/>
  <c r="K425" i="18"/>
  <c r="I429" i="18"/>
  <c r="J429" i="18" s="1"/>
  <c r="I441" i="18"/>
  <c r="J441" i="18" s="1"/>
  <c r="I434" i="18"/>
  <c r="J434" i="18" s="1"/>
  <c r="I409" i="18"/>
  <c r="J409" i="18" s="1"/>
  <c r="I439" i="18"/>
  <c r="J439" i="18" s="1"/>
  <c r="K433" i="18"/>
  <c r="I437" i="18"/>
  <c r="J437" i="18" s="1"/>
  <c r="K439" i="18"/>
  <c r="K436" i="18"/>
  <c r="I445" i="18"/>
  <c r="J445" i="18" s="1"/>
  <c r="K420" i="18"/>
  <c r="I416" i="18"/>
  <c r="K437" i="18"/>
  <c r="I435" i="18"/>
  <c r="J435" i="18" s="1"/>
  <c r="I421" i="18"/>
  <c r="J421" i="18" s="1"/>
  <c r="I424" i="18"/>
  <c r="J424" i="18" s="1"/>
  <c r="I417" i="18"/>
  <c r="J417" i="18" s="1"/>
  <c r="K414" i="18"/>
  <c r="K417" i="18"/>
  <c r="I423" i="18"/>
  <c r="J423" i="18" s="1"/>
  <c r="K441" i="18"/>
  <c r="I430" i="18"/>
  <c r="J430" i="18" s="1"/>
  <c r="K430" i="18"/>
  <c r="I442" i="18"/>
  <c r="J442" i="18" s="1"/>
  <c r="I419" i="18"/>
  <c r="J419" i="18" s="1"/>
  <c r="K429" i="18"/>
  <c r="I420" i="18"/>
  <c r="J420" i="18" s="1"/>
  <c r="I414" i="18"/>
  <c r="I432" i="18"/>
  <c r="J432" i="18" s="1"/>
  <c r="K432" i="18"/>
  <c r="L357" i="18"/>
  <c r="I335" i="18"/>
  <c r="J335" i="18" s="1"/>
  <c r="I317" i="18"/>
  <c r="J317" i="18" s="1"/>
  <c r="I267" i="18"/>
  <c r="J267" i="18" s="1"/>
  <c r="O319" i="18"/>
  <c r="L293" i="18"/>
  <c r="K285" i="18"/>
  <c r="I278" i="18"/>
  <c r="J278" i="18" s="1"/>
  <c r="I259" i="18"/>
  <c r="J259" i="18" s="1"/>
  <c r="J240" i="18"/>
  <c r="J203" i="18"/>
  <c r="I193" i="18"/>
  <c r="J193" i="18" s="1"/>
  <c r="K191" i="18"/>
  <c r="I188" i="18"/>
  <c r="J188" i="18" s="1"/>
  <c r="K188" i="18"/>
  <c r="J180" i="18"/>
  <c r="K176" i="18"/>
  <c r="J137" i="18"/>
  <c r="J129" i="18"/>
  <c r="J111" i="18"/>
  <c r="J112" i="18" s="1"/>
  <c r="K164" i="18"/>
  <c r="K103" i="18"/>
  <c r="I102" i="18"/>
  <c r="I104" i="18" s="1"/>
  <c r="L95" i="18"/>
  <c r="I103" i="18"/>
  <c r="J103" i="18" s="1"/>
  <c r="I205" i="18"/>
  <c r="J205" i="18" s="1"/>
  <c r="I175" i="18"/>
  <c r="O116" i="18"/>
  <c r="O122" i="18" s="1"/>
  <c r="K110" i="18"/>
  <c r="K111" i="18"/>
  <c r="O101" i="18"/>
  <c r="O104" i="18" s="1"/>
  <c r="K116" i="18"/>
  <c r="F97" i="18"/>
  <c r="J95" i="18"/>
  <c r="K96" i="18"/>
  <c r="K97" i="18" s="1"/>
  <c r="K75" i="18"/>
  <c r="I72" i="18"/>
  <c r="J72" i="18" s="1"/>
  <c r="I96" i="18"/>
  <c r="O96" i="18"/>
  <c r="K73" i="18"/>
  <c r="I62" i="18"/>
  <c r="K300" i="18"/>
  <c r="K302" i="18" s="1"/>
  <c r="K74" i="18"/>
  <c r="K54" i="18"/>
  <c r="K62" i="18"/>
  <c r="I82" i="18"/>
  <c r="I83" i="18" s="1"/>
  <c r="K363" i="18"/>
  <c r="I363" i="18"/>
  <c r="J363" i="18" s="1"/>
  <c r="I390" i="18"/>
  <c r="J390" i="18" s="1"/>
  <c r="I371" i="18"/>
  <c r="J371" i="18" s="1"/>
  <c r="I61" i="18"/>
  <c r="J61" i="18" s="1"/>
  <c r="K82" i="18"/>
  <c r="K83" i="18" s="1"/>
  <c r="I54" i="18"/>
  <c r="J54" i="18" s="1"/>
  <c r="K351" i="18"/>
  <c r="I301" i="18"/>
  <c r="J301" i="18" s="1"/>
  <c r="K381" i="18"/>
  <c r="I74" i="18"/>
  <c r="J74" i="18" s="1"/>
  <c r="K390" i="18"/>
  <c r="I55" i="18"/>
  <c r="J55" i="18" s="1"/>
  <c r="O82" i="18"/>
  <c r="O83" i="18" s="1"/>
  <c r="I351" i="18"/>
  <c r="J351" i="18" s="1"/>
  <c r="K55" i="18"/>
  <c r="J62" i="18"/>
  <c r="I38" i="18"/>
  <c r="J38" i="18" s="1"/>
  <c r="I372" i="18"/>
  <c r="I382" i="18"/>
  <c r="I385" i="18" s="1"/>
  <c r="K40" i="18"/>
  <c r="K37" i="18"/>
  <c r="L48" i="18"/>
  <c r="N48" i="18" s="1"/>
  <c r="T48" i="18" s="1"/>
  <c r="U48" i="18" s="1"/>
  <c r="J39" i="18"/>
  <c r="I158" i="18"/>
  <c r="J158" i="18" s="1"/>
  <c r="I118" i="18"/>
  <c r="J118" i="18" s="1"/>
  <c r="K146" i="18"/>
  <c r="I328" i="18"/>
  <c r="J328" i="18" s="1"/>
  <c r="J24" i="18"/>
  <c r="K23" i="18"/>
  <c r="M23" i="18"/>
  <c r="M30" i="18" s="1"/>
  <c r="I16" i="18"/>
  <c r="J16" i="18" s="1"/>
  <c r="K14" i="18"/>
  <c r="K12" i="18"/>
  <c r="I12" i="18"/>
  <c r="J12" i="18" s="1"/>
  <c r="I14" i="18"/>
  <c r="J14" i="18" s="1"/>
  <c r="K9" i="18"/>
  <c r="K53" i="18"/>
  <c r="K8" i="18"/>
  <c r="Q14" i="22"/>
  <c r="T291" i="18"/>
  <c r="O308" i="18"/>
  <c r="O309" i="18" s="1"/>
  <c r="J268" i="18"/>
  <c r="I294" i="18"/>
  <c r="J294" i="18" s="1"/>
  <c r="L443" i="18"/>
  <c r="I275" i="18"/>
  <c r="J275" i="18" s="1"/>
  <c r="K274" i="18"/>
  <c r="O371" i="18"/>
  <c r="O390" i="18"/>
  <c r="T390" i="18" s="1"/>
  <c r="L413" i="18"/>
  <c r="O54" i="18"/>
  <c r="O74" i="18"/>
  <c r="L338" i="18"/>
  <c r="N338" i="18" s="1"/>
  <c r="T338" i="18" s="1"/>
  <c r="U338" i="18" s="1"/>
  <c r="O351" i="18"/>
  <c r="O358" i="18" s="1"/>
  <c r="O89" i="18"/>
  <c r="Q448" i="18"/>
  <c r="Q450" i="18" s="1"/>
  <c r="I336" i="18"/>
  <c r="J336" i="18" s="1"/>
  <c r="K194" i="18"/>
  <c r="K61" i="18"/>
  <c r="I300" i="18"/>
  <c r="I302" i="18" s="1"/>
  <c r="J69" i="18"/>
  <c r="K392" i="18"/>
  <c r="I274" i="18"/>
  <c r="J274" i="18" s="1"/>
  <c r="O276" i="18"/>
  <c r="I393" i="18"/>
  <c r="J393" i="18" s="1"/>
  <c r="J438" i="18"/>
  <c r="K371" i="18"/>
  <c r="K395" i="18"/>
  <c r="I395" i="18"/>
  <c r="J395" i="18" s="1"/>
  <c r="I396" i="18"/>
  <c r="J396" i="18" s="1"/>
  <c r="I276" i="18"/>
  <c r="J276" i="18" s="1"/>
  <c r="S448" i="18"/>
  <c r="T37" i="18"/>
  <c r="U37" i="18" s="1"/>
  <c r="I224" i="18"/>
  <c r="I225" i="18" s="1"/>
  <c r="G448" i="18"/>
  <c r="U205" i="18"/>
  <c r="U417" i="18"/>
  <c r="K18" i="18"/>
  <c r="I254" i="18"/>
  <c r="J254" i="18" s="1"/>
  <c r="K413" i="18"/>
  <c r="I245" i="18"/>
  <c r="J245" i="18" s="1"/>
  <c r="K145" i="18"/>
  <c r="L424" i="18"/>
  <c r="K13" i="18"/>
  <c r="K326" i="18"/>
  <c r="K36" i="18"/>
  <c r="J127" i="18"/>
  <c r="L418" i="18"/>
  <c r="I146" i="18"/>
  <c r="J146" i="18" s="1"/>
  <c r="O176" i="18"/>
  <c r="O363" i="18"/>
  <c r="O366" i="18" s="1"/>
  <c r="L60" i="18"/>
  <c r="N60" i="18" s="1"/>
  <c r="T60" i="18" s="1"/>
  <c r="O61" i="18"/>
  <c r="I325" i="18"/>
  <c r="J325" i="18" s="1"/>
  <c r="K254" i="18"/>
  <c r="K243" i="18"/>
  <c r="I37" i="18"/>
  <c r="J37" i="18" s="1"/>
  <c r="K357" i="18"/>
  <c r="I243" i="18"/>
  <c r="J243" i="18" s="1"/>
  <c r="K355" i="18"/>
  <c r="J134" i="18"/>
  <c r="L287" i="18"/>
  <c r="O382" i="18"/>
  <c r="T382" i="18" s="1"/>
  <c r="I242" i="18"/>
  <c r="J242" i="18" s="1"/>
  <c r="I440" i="18"/>
  <c r="J440" i="18" s="1"/>
  <c r="I353" i="18"/>
  <c r="J353" i="18" s="1"/>
  <c r="K364" i="18"/>
  <c r="I145" i="18"/>
  <c r="I215" i="18"/>
  <c r="J215" i="18" s="1"/>
  <c r="O45" i="18"/>
  <c r="O49" i="18" s="1"/>
  <c r="T393" i="18"/>
  <c r="U393" i="18" s="1"/>
  <c r="I128" i="18"/>
  <c r="I139" i="18" s="1"/>
  <c r="L205" i="18"/>
  <c r="H195" i="18"/>
  <c r="H448" i="18" s="1"/>
  <c r="K337" i="18"/>
  <c r="I337" i="18"/>
  <c r="J337" i="18" s="1"/>
  <c r="L435" i="18"/>
  <c r="K382" i="18"/>
  <c r="K385" i="18" s="1"/>
  <c r="I326" i="18"/>
  <c r="J326" i="18" s="1"/>
  <c r="I365" i="18"/>
  <c r="J365" i="18" s="1"/>
  <c r="K440" i="18"/>
  <c r="I355" i="18"/>
  <c r="J355" i="18" s="1"/>
  <c r="L136" i="18"/>
  <c r="I352" i="18"/>
  <c r="J352" i="18" s="1"/>
  <c r="I241" i="18"/>
  <c r="J241" i="18" s="1"/>
  <c r="F30" i="18"/>
  <c r="F248" i="18"/>
  <c r="F195" i="18"/>
  <c r="L207" i="18"/>
  <c r="N207" i="18" s="1"/>
  <c r="T207" i="18" s="1"/>
  <c r="J408" i="18"/>
  <c r="K128" i="18"/>
  <c r="K139" i="18" s="1"/>
  <c r="O257" i="18"/>
  <c r="K352" i="18"/>
  <c r="K354" i="18"/>
  <c r="K353" i="18"/>
  <c r="I357" i="18"/>
  <c r="J357" i="18" s="1"/>
  <c r="K241" i="18"/>
  <c r="O372" i="18"/>
  <c r="O402" i="18"/>
  <c r="L224" i="18"/>
  <c r="J48" i="18"/>
  <c r="L201" i="18"/>
  <c r="I36" i="18"/>
  <c r="J36" i="18" s="1"/>
  <c r="L247" i="18"/>
  <c r="I40" i="18"/>
  <c r="J40" i="18" s="1"/>
  <c r="J418" i="18"/>
  <c r="I18" i="18"/>
  <c r="J18" i="18" s="1"/>
  <c r="I201" i="18"/>
  <c r="J201" i="18" s="1"/>
  <c r="K38" i="18"/>
  <c r="K365" i="18"/>
  <c r="I354" i="18"/>
  <c r="J354" i="18" s="1"/>
  <c r="K27" i="18"/>
  <c r="K117" i="18"/>
  <c r="I247" i="18"/>
  <c r="J247" i="18" s="1"/>
  <c r="L245" i="18"/>
  <c r="O55" i="18"/>
  <c r="O381" i="18"/>
  <c r="T352" i="18"/>
  <c r="U352" i="18" s="1"/>
  <c r="K156" i="18"/>
  <c r="I214" i="18"/>
  <c r="J214" i="18" s="1"/>
  <c r="I314" i="18"/>
  <c r="J314" i="18" s="1"/>
  <c r="O224" i="18"/>
  <c r="O225" i="18" s="1"/>
  <c r="K201" i="18"/>
  <c r="L40" i="18"/>
  <c r="K372" i="18"/>
  <c r="J29" i="18"/>
  <c r="I255" i="18"/>
  <c r="J255" i="18" s="1"/>
  <c r="K255" i="18"/>
  <c r="K329" i="18"/>
  <c r="K242" i="18"/>
  <c r="I75" i="18"/>
  <c r="J75" i="18" s="1"/>
  <c r="I364" i="18"/>
  <c r="J364" i="18" s="1"/>
  <c r="K119" i="18"/>
  <c r="I119" i="18"/>
  <c r="J119" i="18" s="1"/>
  <c r="L189" i="18"/>
  <c r="J331" i="18"/>
  <c r="O62" i="18"/>
  <c r="K214" i="18"/>
  <c r="L314" i="18"/>
  <c r="F225" i="18"/>
  <c r="U284" i="18"/>
  <c r="U253" i="18"/>
  <c r="T354" i="18"/>
  <c r="T35" i="18"/>
  <c r="T158" i="18"/>
  <c r="N159" i="18"/>
  <c r="N219" i="18"/>
  <c r="U328" i="18"/>
  <c r="T129" i="18"/>
  <c r="U418" i="18"/>
  <c r="U146" i="18"/>
  <c r="U374" i="18"/>
  <c r="L177" i="18"/>
  <c r="N177" i="18" s="1"/>
  <c r="T177" i="18" s="1"/>
  <c r="K200" i="18"/>
  <c r="I261" i="18"/>
  <c r="J261" i="18" s="1"/>
  <c r="L442" i="18"/>
  <c r="K179" i="18"/>
  <c r="F90" i="18"/>
  <c r="K286" i="18"/>
  <c r="I11" i="18"/>
  <c r="J11" i="18" s="1"/>
  <c r="L283" i="18"/>
  <c r="K262" i="18"/>
  <c r="I208" i="18"/>
  <c r="J208" i="18" s="1"/>
  <c r="F219" i="18"/>
  <c r="I286" i="18"/>
  <c r="J286" i="18" s="1"/>
  <c r="K264" i="18"/>
  <c r="I264" i="18"/>
  <c r="J264" i="18" s="1"/>
  <c r="I207" i="18"/>
  <c r="J207" i="18" s="1"/>
  <c r="L213" i="18"/>
  <c r="I9" i="18"/>
  <c r="J9" i="18" s="1"/>
  <c r="I117" i="18"/>
  <c r="J117" i="18" s="1"/>
  <c r="K215" i="18"/>
  <c r="L190" i="18"/>
  <c r="L289" i="18"/>
  <c r="J23" i="18"/>
  <c r="L176" i="18"/>
  <c r="N176" i="18" s="1"/>
  <c r="T230" i="18"/>
  <c r="L275" i="18"/>
  <c r="N275" i="18" s="1"/>
  <c r="I285" i="18"/>
  <c r="J285" i="18" s="1"/>
  <c r="F397" i="18"/>
  <c r="J102" i="18"/>
  <c r="I287" i="18"/>
  <c r="J287" i="18" s="1"/>
  <c r="I339" i="18"/>
  <c r="J339" i="18" s="1"/>
  <c r="I177" i="18"/>
  <c r="J177" i="18" s="1"/>
  <c r="L421" i="18"/>
  <c r="F309" i="18"/>
  <c r="F159" i="18"/>
  <c r="L430" i="18"/>
  <c r="K25" i="18"/>
  <c r="I157" i="18"/>
  <c r="J157" i="18" s="1"/>
  <c r="J407" i="18"/>
  <c r="F151" i="18"/>
  <c r="O208" i="18"/>
  <c r="T281" i="18"/>
  <c r="I257" i="18"/>
  <c r="J257" i="18" s="1"/>
  <c r="L253" i="18"/>
  <c r="K213" i="18"/>
  <c r="N90" i="18"/>
  <c r="K207" i="18"/>
  <c r="J88" i="18"/>
  <c r="K287" i="18"/>
  <c r="K284" i="18"/>
  <c r="L36" i="18"/>
  <c r="I25" i="18"/>
  <c r="J25" i="18" s="1"/>
  <c r="K208" i="18"/>
  <c r="K283" i="18"/>
  <c r="J344" i="18"/>
  <c r="L199" i="18"/>
  <c r="I327" i="18"/>
  <c r="J327" i="18" s="1"/>
  <c r="K334" i="18"/>
  <c r="I284" i="18"/>
  <c r="J284" i="18" s="1"/>
  <c r="I289" i="18"/>
  <c r="J289" i="18" s="1"/>
  <c r="J132" i="18"/>
  <c r="T327" i="18"/>
  <c r="I262" i="18"/>
  <c r="J262" i="18" s="1"/>
  <c r="I213" i="18"/>
  <c r="J213" i="18" s="1"/>
  <c r="K11" i="18"/>
  <c r="K177" i="18"/>
  <c r="I200" i="18"/>
  <c r="J200" i="18" s="1"/>
  <c r="I199" i="18"/>
  <c r="J199" i="18" s="1"/>
  <c r="L431" i="18"/>
  <c r="I179" i="18"/>
  <c r="J179" i="18" s="1"/>
  <c r="K327" i="18"/>
  <c r="K289" i="18"/>
  <c r="K158" i="18"/>
  <c r="K339" i="18"/>
  <c r="I329" i="18"/>
  <c r="J329" i="18" s="1"/>
  <c r="K118" i="18"/>
  <c r="O213" i="18"/>
  <c r="L334" i="18"/>
  <c r="N334" i="18" s="1"/>
  <c r="T334" i="18" s="1"/>
  <c r="L214" i="18"/>
  <c r="T365" i="18"/>
  <c r="L351" i="18"/>
  <c r="F358" i="18"/>
  <c r="L14" i="18"/>
  <c r="T39" i="18"/>
  <c r="L34" i="18"/>
  <c r="J34" i="18"/>
  <c r="F41" i="18"/>
  <c r="O181" i="18"/>
  <c r="L181" i="18"/>
  <c r="N181" i="18" s="1"/>
  <c r="T234" i="18"/>
  <c r="L165" i="18"/>
  <c r="N165" i="18" s="1"/>
  <c r="I165" i="18"/>
  <c r="J165" i="18" s="1"/>
  <c r="F167" i="18"/>
  <c r="K165" i="18"/>
  <c r="T414" i="18"/>
  <c r="L414" i="18"/>
  <c r="L131" i="18"/>
  <c r="N131" i="18" s="1"/>
  <c r="T131" i="18" s="1"/>
  <c r="F139" i="18"/>
  <c r="J381" i="18"/>
  <c r="F366" i="18"/>
  <c r="J175" i="18"/>
  <c r="L175" i="18"/>
  <c r="I191" i="18"/>
  <c r="J191" i="18" s="1"/>
  <c r="I190" i="18"/>
  <c r="J190" i="18" s="1"/>
  <c r="K189" i="18"/>
  <c r="I189" i="18"/>
  <c r="J189" i="18" s="1"/>
  <c r="L188" i="18"/>
  <c r="K190" i="18"/>
  <c r="I194" i="18"/>
  <c r="J194" i="18" s="1"/>
  <c r="K193" i="18"/>
  <c r="F112" i="18"/>
  <c r="T110" i="18"/>
  <c r="L110" i="18"/>
  <c r="L112" i="18" s="1"/>
  <c r="O273" i="18"/>
  <c r="O264" i="18"/>
  <c r="O258" i="18"/>
  <c r="O260" i="18"/>
  <c r="O263" i="18"/>
  <c r="O265" i="18"/>
  <c r="O261" i="18"/>
  <c r="J258" i="18"/>
  <c r="L258" i="18"/>
  <c r="N258" i="18" s="1"/>
  <c r="O259" i="18"/>
  <c r="L329" i="18"/>
  <c r="N329" i="18" s="1"/>
  <c r="K331" i="18"/>
  <c r="L54" i="18"/>
  <c r="F56" i="18"/>
  <c r="L381" i="18"/>
  <c r="N381" i="18" s="1"/>
  <c r="F385" i="18"/>
  <c r="L302" i="18"/>
  <c r="F376" i="18"/>
  <c r="L288" i="18"/>
  <c r="L118" i="18"/>
  <c r="N118" i="18" s="1"/>
  <c r="L179" i="18"/>
  <c r="N179" i="18" s="1"/>
  <c r="L208" i="18"/>
  <c r="N208" i="18" s="1"/>
  <c r="F295" i="18"/>
  <c r="L255" i="18"/>
  <c r="N255" i="18" s="1"/>
  <c r="T292" i="18"/>
  <c r="T434" i="18"/>
  <c r="L434" i="18"/>
  <c r="U411" i="18"/>
  <c r="F346" i="18"/>
  <c r="L325" i="18"/>
  <c r="T134" i="18"/>
  <c r="O26" i="18"/>
  <c r="I26" i="18"/>
  <c r="J26" i="18" s="1"/>
  <c r="L46" i="18"/>
  <c r="N46" i="18" s="1"/>
  <c r="T46" i="18" s="1"/>
  <c r="F49" i="18"/>
  <c r="J46" i="18"/>
  <c r="L103" i="18"/>
  <c r="N103" i="18" s="1"/>
  <c r="T103" i="18" s="1"/>
  <c r="L395" i="18"/>
  <c r="N395" i="18" s="1"/>
  <c r="T200" i="18"/>
  <c r="F209" i="18"/>
  <c r="L200" i="18"/>
  <c r="T285" i="18"/>
  <c r="R446" i="18"/>
  <c r="R448" i="18" s="1"/>
  <c r="T423" i="18"/>
  <c r="L423" i="18"/>
  <c r="T410" i="18"/>
  <c r="L401" i="18"/>
  <c r="L403" i="18" s="1"/>
  <c r="I319" i="18"/>
  <c r="J319" i="18" s="1"/>
  <c r="L307" i="18"/>
  <c r="U441" i="18"/>
  <c r="T420" i="18"/>
  <c r="L420" i="18"/>
  <c r="F446" i="18"/>
  <c r="J308" i="18"/>
  <c r="I10" i="18"/>
  <c r="K10" i="18"/>
  <c r="L231" i="18"/>
  <c r="N231" i="18" s="1"/>
  <c r="F235" i="18"/>
  <c r="T68" i="18"/>
  <c r="F76" i="18"/>
  <c r="J68" i="18"/>
  <c r="O172" i="18"/>
  <c r="O186" i="18"/>
  <c r="L186" i="18"/>
  <c r="I172" i="18"/>
  <c r="K172" i="18"/>
  <c r="K186" i="18"/>
  <c r="I186" i="18"/>
  <c r="J186" i="18" s="1"/>
  <c r="L279" i="18"/>
  <c r="N279" i="18" s="1"/>
  <c r="K279" i="18"/>
  <c r="O279" i="18"/>
  <c r="O340" i="18"/>
  <c r="I340" i="18"/>
  <c r="J340" i="18" s="1"/>
  <c r="K340" i="18"/>
  <c r="T111" i="18"/>
  <c r="U283" i="18"/>
  <c r="T157" i="18"/>
  <c r="L438" i="18"/>
  <c r="T438" i="18"/>
  <c r="U431" i="18"/>
  <c r="F320" i="18"/>
  <c r="L313" i="18"/>
  <c r="N313" i="18" s="1"/>
  <c r="J313" i="18"/>
  <c r="L135" i="18"/>
  <c r="N135" i="18" s="1"/>
  <c r="T135" i="18" s="1"/>
  <c r="L15" i="18"/>
  <c r="N15" i="18" s="1"/>
  <c r="I15" i="18"/>
  <c r="J15" i="18" s="1"/>
  <c r="K15" i="18"/>
  <c r="I181" i="18"/>
  <c r="J181" i="18" s="1"/>
  <c r="L8" i="18"/>
  <c r="N8" i="18" s="1"/>
  <c r="O8" i="18"/>
  <c r="J8" i="18"/>
  <c r="I53" i="18"/>
  <c r="L144" i="18"/>
  <c r="N144" i="18" s="1"/>
  <c r="T144" i="18" s="1"/>
  <c r="K143" i="18"/>
  <c r="O143" i="18"/>
  <c r="L260" i="18"/>
  <c r="N260" i="18" s="1"/>
  <c r="K260" i="18"/>
  <c r="U289" i="18"/>
  <c r="T266" i="18"/>
  <c r="T416" i="18"/>
  <c r="L416" i="18"/>
  <c r="J416" i="18"/>
  <c r="I271" i="18"/>
  <c r="J271" i="18" s="1"/>
  <c r="I120" i="18"/>
  <c r="I218" i="18"/>
  <c r="K267" i="18"/>
  <c r="I266" i="18"/>
  <c r="J266" i="18" s="1"/>
  <c r="J231" i="18"/>
  <c r="J410" i="18"/>
  <c r="L410" i="18" s="1"/>
  <c r="L383" i="18"/>
  <c r="L385" i="18" s="1"/>
  <c r="T439" i="18"/>
  <c r="I89" i="18"/>
  <c r="I13" i="18"/>
  <c r="J13" i="18" s="1"/>
  <c r="I265" i="18"/>
  <c r="J265" i="18" s="1"/>
  <c r="O14" i="18"/>
  <c r="O179" i="18"/>
  <c r="O316" i="18"/>
  <c r="O343" i="18"/>
  <c r="T130" i="18"/>
  <c r="J128" i="18"/>
  <c r="I164" i="18"/>
  <c r="J164" i="18" s="1"/>
  <c r="O325" i="18"/>
  <c r="I402" i="18"/>
  <c r="J402" i="18" s="1"/>
  <c r="T187" i="18"/>
  <c r="O12" i="18"/>
  <c r="L143" i="18"/>
  <c r="N143" i="18" s="1"/>
  <c r="O318" i="18"/>
  <c r="T408" i="18"/>
  <c r="T128" i="18"/>
  <c r="O314" i="18"/>
  <c r="I401" i="18"/>
  <c r="J401" i="18" s="1"/>
  <c r="N302" i="18"/>
  <c r="F104" i="18"/>
  <c r="T117" i="18"/>
  <c r="I253" i="18"/>
  <c r="J253" i="18" s="1"/>
  <c r="O108" i="18"/>
  <c r="I235" i="18"/>
  <c r="J414" i="18"/>
  <c r="J282" i="18"/>
  <c r="K294" i="18"/>
  <c r="T344" i="18"/>
  <c r="I156" i="18"/>
  <c r="K205" i="18"/>
  <c r="O401" i="18"/>
  <c r="U120" i="18"/>
  <c r="J318" i="18"/>
  <c r="J230" i="18"/>
  <c r="T102" i="18"/>
  <c r="K248" i="18"/>
  <c r="T96" i="18"/>
  <c r="L119" i="18"/>
  <c r="N119" i="18" s="1"/>
  <c r="T13" i="18"/>
  <c r="L240" i="18"/>
  <c r="N240" i="18" s="1"/>
  <c r="T240" i="18" s="1"/>
  <c r="L148" i="18"/>
  <c r="L371" i="18"/>
  <c r="I433" i="18"/>
  <c r="J433" i="18" s="1"/>
  <c r="I425" i="18"/>
  <c r="L26" i="18"/>
  <c r="L101" i="18"/>
  <c r="L243" i="18"/>
  <c r="N243" i="18" s="1"/>
  <c r="O188" i="18"/>
  <c r="T188" i="18" s="1"/>
  <c r="O193" i="18"/>
  <c r="O189" i="18"/>
  <c r="O194" i="18"/>
  <c r="O191" i="18"/>
  <c r="L16" i="18"/>
  <c r="N16" i="18" s="1"/>
  <c r="O16" i="18"/>
  <c r="L47" i="18"/>
  <c r="N47" i="18" s="1"/>
  <c r="T190" i="18"/>
  <c r="T121" i="18"/>
  <c r="L81" i="18"/>
  <c r="F83" i="18"/>
  <c r="J81" i="18"/>
  <c r="L392" i="18"/>
  <c r="T72" i="18"/>
  <c r="F19" i="18"/>
  <c r="L116" i="18"/>
  <c r="F122" i="18"/>
  <c r="U247" i="18"/>
  <c r="L10" i="18"/>
  <c r="O10" i="18"/>
  <c r="N23" i="18"/>
  <c r="O23" i="18"/>
  <c r="L23" i="18"/>
  <c r="T241" i="18"/>
  <c r="L364" i="18"/>
  <c r="L271" i="18"/>
  <c r="N271" i="18" s="1"/>
  <c r="T271" i="18" s="1"/>
  <c r="L18" i="18"/>
  <c r="N18" i="18" s="1"/>
  <c r="L11" i="18"/>
  <c r="N11" i="18" s="1"/>
  <c r="T27" i="18"/>
  <c r="L440" i="18"/>
  <c r="N440" i="18" s="1"/>
  <c r="K269" i="18"/>
  <c r="I269" i="18"/>
  <c r="J269" i="18" s="1"/>
  <c r="L315" i="18"/>
  <c r="L45" i="18"/>
  <c r="T147" i="18"/>
  <c r="T242" i="18"/>
  <c r="O375" i="18"/>
  <c r="O396" i="18"/>
  <c r="T215" i="18"/>
  <c r="T294" i="18"/>
  <c r="O15" i="18"/>
  <c r="L12" i="18"/>
  <c r="N12" i="18" s="1"/>
  <c r="O9" i="18"/>
  <c r="O25" i="18"/>
  <c r="T38" i="18"/>
  <c r="T150" i="18"/>
  <c r="T180" i="18"/>
  <c r="T53" i="18"/>
  <c r="O394" i="18"/>
  <c r="O75" i="18"/>
  <c r="T254" i="18"/>
  <c r="O335" i="18"/>
  <c r="T127" i="18"/>
  <c r="T269" i="18"/>
  <c r="L375" i="18"/>
  <c r="N375" i="18" s="1"/>
  <c r="O373" i="18"/>
  <c r="T373" i="18" s="1"/>
  <c r="L75" i="18"/>
  <c r="N75" i="18" s="1"/>
  <c r="N76" i="18" s="1"/>
  <c r="T280" i="18"/>
  <c r="L268" i="18"/>
  <c r="N268" i="18" s="1"/>
  <c r="L25" i="18"/>
  <c r="N25" i="18" s="1"/>
  <c r="O392" i="18"/>
  <c r="L265" i="18"/>
  <c r="N265" i="18" s="1"/>
  <c r="L63" i="18"/>
  <c r="L319" i="18"/>
  <c r="N319" i="18" s="1"/>
  <c r="L133" i="18"/>
  <c r="O73" i="18"/>
  <c r="L202" i="18"/>
  <c r="N202" i="18" s="1"/>
  <c r="T202" i="18" s="1"/>
  <c r="O203" i="18"/>
  <c r="T203" i="18" s="1"/>
  <c r="T274" i="18"/>
  <c r="L345" i="18"/>
  <c r="N345" i="18" s="1"/>
  <c r="O339" i="18"/>
  <c r="L409" i="18"/>
  <c r="L70" i="18"/>
  <c r="F302" i="18"/>
  <c r="L261" i="18"/>
  <c r="O278" i="18"/>
  <c r="T278" i="18" s="1"/>
  <c r="L276" i="18"/>
  <c r="N276" i="18" s="1"/>
  <c r="L272" i="18"/>
  <c r="N272" i="18" s="1"/>
  <c r="T267" i="18"/>
  <c r="O315" i="18"/>
  <c r="O341" i="18"/>
  <c r="L340" i="18"/>
  <c r="N340" i="18" s="1"/>
  <c r="O337" i="18"/>
  <c r="L336" i="18"/>
  <c r="T355" i="18"/>
  <c r="T132" i="18"/>
  <c r="L164" i="18"/>
  <c r="I63" i="18"/>
  <c r="J63" i="18" s="1"/>
  <c r="I70" i="18"/>
  <c r="J70" i="18" s="1"/>
  <c r="I71" i="18"/>
  <c r="J71" i="18" s="1"/>
  <c r="K89" i="18"/>
  <c r="K90" i="18" s="1"/>
  <c r="K257" i="18"/>
  <c r="K314" i="18"/>
  <c r="K320" i="18" s="1"/>
  <c r="K325" i="18"/>
  <c r="K401" i="18"/>
  <c r="K402" i="18"/>
  <c r="L156" i="18"/>
  <c r="L159" i="18" s="1"/>
  <c r="K63" i="18"/>
  <c r="K70" i="18"/>
  <c r="K71" i="18"/>
  <c r="O301" i="18"/>
  <c r="T301" i="18" s="1"/>
  <c r="O342" i="18"/>
  <c r="O326" i="18"/>
  <c r="O440" i="18"/>
  <c r="T164" i="18"/>
  <c r="L71" i="18"/>
  <c r="O300" i="18"/>
  <c r="O317" i="18"/>
  <c r="O63" i="18"/>
  <c r="O70" i="18"/>
  <c r="K104" i="18" l="1"/>
  <c r="I309" i="18"/>
  <c r="T82" i="18"/>
  <c r="K235" i="18"/>
  <c r="J382" i="18"/>
  <c r="J385" i="18" s="1"/>
  <c r="K159" i="18"/>
  <c r="J307" i="18"/>
  <c r="J248" i="18" s="1"/>
  <c r="I248" i="18"/>
  <c r="T363" i="18"/>
  <c r="T217" i="18"/>
  <c r="U217" i="18" s="1"/>
  <c r="I112" i="18"/>
  <c r="T181" i="18"/>
  <c r="U181" i="18" s="1"/>
  <c r="I366" i="18"/>
  <c r="J82" i="18"/>
  <c r="K112" i="18"/>
  <c r="O235" i="18"/>
  <c r="J403" i="18"/>
  <c r="K376" i="18"/>
  <c r="K366" i="18"/>
  <c r="L167" i="18"/>
  <c r="K56" i="18"/>
  <c r="K397" i="18"/>
  <c r="K122" i="18"/>
  <c r="U419" i="18"/>
  <c r="I376" i="18"/>
  <c r="J366" i="18"/>
  <c r="T275" i="18"/>
  <c r="T265" i="18"/>
  <c r="T264" i="18"/>
  <c r="U264" i="18" s="1"/>
  <c r="K167" i="18"/>
  <c r="L97" i="18"/>
  <c r="N95" i="18"/>
  <c r="J104" i="18"/>
  <c r="O97" i="18"/>
  <c r="I97" i="18"/>
  <c r="J96" i="18"/>
  <c r="J97" i="18" s="1"/>
  <c r="T62" i="18"/>
  <c r="T61" i="18"/>
  <c r="U61" i="18" s="1"/>
  <c r="J300" i="18"/>
  <c r="J302" i="18" s="1"/>
  <c r="T74" i="18"/>
  <c r="T55" i="18"/>
  <c r="U55" i="18" s="1"/>
  <c r="J83" i="18"/>
  <c r="T308" i="18"/>
  <c r="U308" i="18" s="1"/>
  <c r="K358" i="18"/>
  <c r="J372" i="18"/>
  <c r="J376" i="18" s="1"/>
  <c r="I151" i="18"/>
  <c r="K151" i="18"/>
  <c r="U24" i="18"/>
  <c r="K19" i="18"/>
  <c r="I397" i="18"/>
  <c r="J397" i="18"/>
  <c r="J224" i="18"/>
  <c r="J225" i="18" s="1"/>
  <c r="T259" i="18"/>
  <c r="U259" i="18" s="1"/>
  <c r="T372" i="18"/>
  <c r="U372" i="18" s="1"/>
  <c r="T395" i="18"/>
  <c r="U395" i="18" s="1"/>
  <c r="T23" i="18"/>
  <c r="U23" i="18" s="1"/>
  <c r="T47" i="18"/>
  <c r="T258" i="18"/>
  <c r="T89" i="18"/>
  <c r="O90" i="18"/>
  <c r="I41" i="18"/>
  <c r="T176" i="18"/>
  <c r="U176" i="18" s="1"/>
  <c r="T243" i="18"/>
  <c r="U243" i="18" s="1"/>
  <c r="L235" i="18"/>
  <c r="U291" i="18"/>
  <c r="F448" i="18"/>
  <c r="P182" i="18"/>
  <c r="P448" i="18" s="1"/>
  <c r="P450" i="18" s="1"/>
  <c r="J320" i="18"/>
  <c r="T257" i="18"/>
  <c r="N224" i="18"/>
  <c r="L225" i="18"/>
  <c r="J41" i="18"/>
  <c r="I358" i="18"/>
  <c r="T208" i="18"/>
  <c r="U208" i="18" s="1"/>
  <c r="K195" i="18"/>
  <c r="J145" i="18"/>
  <c r="J151" i="18" s="1"/>
  <c r="K30" i="18"/>
  <c r="T402" i="18"/>
  <c r="O385" i="18"/>
  <c r="K41" i="18"/>
  <c r="T318" i="18"/>
  <c r="J209" i="18"/>
  <c r="T272" i="18"/>
  <c r="T11" i="18"/>
  <c r="U11" i="18" s="1"/>
  <c r="O56" i="18"/>
  <c r="U177" i="18"/>
  <c r="I209" i="18"/>
  <c r="J295" i="18"/>
  <c r="T26" i="18"/>
  <c r="I320" i="18"/>
  <c r="U207" i="18"/>
  <c r="U354" i="18"/>
  <c r="J30" i="18"/>
  <c r="U129" i="18"/>
  <c r="U35" i="18"/>
  <c r="T316" i="18"/>
  <c r="T440" i="18"/>
  <c r="U440" i="18" s="1"/>
  <c r="I195" i="18"/>
  <c r="I167" i="18"/>
  <c r="U327" i="18"/>
  <c r="U281" i="18"/>
  <c r="T108" i="18"/>
  <c r="U108" i="18" s="1"/>
  <c r="T339" i="18"/>
  <c r="K209" i="18"/>
  <c r="J139" i="18"/>
  <c r="K182" i="18"/>
  <c r="T14" i="18"/>
  <c r="U334" i="18"/>
  <c r="K219" i="18"/>
  <c r="U230" i="18"/>
  <c r="I346" i="18"/>
  <c r="T213" i="18"/>
  <c r="T219" i="18" s="1"/>
  <c r="O219" i="18"/>
  <c r="L219" i="18"/>
  <c r="U158" i="18"/>
  <c r="K346" i="18"/>
  <c r="T25" i="18"/>
  <c r="T143" i="18"/>
  <c r="U143" i="18" s="1"/>
  <c r="I30" i="18"/>
  <c r="T317" i="18"/>
  <c r="U317" i="18" s="1"/>
  <c r="T401" i="18"/>
  <c r="O403" i="18"/>
  <c r="T325" i="18"/>
  <c r="I19" i="18"/>
  <c r="J10" i="18"/>
  <c r="J19" i="18" s="1"/>
  <c r="N351" i="18"/>
  <c r="L358" i="18"/>
  <c r="T375" i="18"/>
  <c r="U375" i="18" s="1"/>
  <c r="N407" i="18"/>
  <c r="T407" i="18" s="1"/>
  <c r="T191" i="18"/>
  <c r="U191" i="18" s="1"/>
  <c r="J235" i="18"/>
  <c r="U74" i="18"/>
  <c r="T260" i="18"/>
  <c r="U111" i="18"/>
  <c r="T279" i="18"/>
  <c r="N307" i="18"/>
  <c r="L309" i="18"/>
  <c r="L248" i="18"/>
  <c r="U423" i="18"/>
  <c r="U200" i="18"/>
  <c r="U134" i="18"/>
  <c r="U434" i="18"/>
  <c r="N34" i="18"/>
  <c r="L41" i="18"/>
  <c r="U128" i="18"/>
  <c r="T16" i="18"/>
  <c r="U16" i="18" s="1"/>
  <c r="L209" i="18"/>
  <c r="U408" i="18"/>
  <c r="O182" i="18"/>
  <c r="N385" i="18"/>
  <c r="T329" i="18"/>
  <c r="N175" i="18"/>
  <c r="L182" i="18"/>
  <c r="T345" i="18"/>
  <c r="T343" i="18"/>
  <c r="U343" i="18" s="1"/>
  <c r="T118" i="18"/>
  <c r="T313" i="18"/>
  <c r="U313" i="18" s="1"/>
  <c r="J156" i="18"/>
  <c r="J159" i="18" s="1"/>
  <c r="I159" i="18"/>
  <c r="U117" i="18"/>
  <c r="T8" i="18"/>
  <c r="T179" i="18"/>
  <c r="N54" i="18"/>
  <c r="L56" i="18"/>
  <c r="T165" i="18"/>
  <c r="N167" i="18"/>
  <c r="U130" i="18"/>
  <c r="U416" i="18"/>
  <c r="O151" i="18"/>
  <c r="U438" i="18"/>
  <c r="U292" i="18"/>
  <c r="T273" i="18"/>
  <c r="U131" i="18"/>
  <c r="U39" i="18"/>
  <c r="U344" i="18"/>
  <c r="J218" i="18"/>
  <c r="J219" i="18" s="1"/>
  <c r="I219" i="18"/>
  <c r="U68" i="18"/>
  <c r="J346" i="18"/>
  <c r="U234" i="18"/>
  <c r="U14" i="18"/>
  <c r="J167" i="18"/>
  <c r="U144" i="18"/>
  <c r="U414" i="18"/>
  <c r="U365" i="18"/>
  <c r="T73" i="18"/>
  <c r="U73" i="18" s="1"/>
  <c r="I403" i="18"/>
  <c r="U187" i="18"/>
  <c r="I90" i="18"/>
  <c r="J89" i="18"/>
  <c r="J90" i="18" s="1"/>
  <c r="J120" i="18"/>
  <c r="J122" i="18" s="1"/>
  <c r="I122" i="18"/>
  <c r="U266" i="18"/>
  <c r="U135" i="18"/>
  <c r="U157" i="18"/>
  <c r="U159" i="18" s="1"/>
  <c r="T159" i="18"/>
  <c r="J172" i="18"/>
  <c r="J182" i="18" s="1"/>
  <c r="I182" i="18"/>
  <c r="U285" i="18"/>
  <c r="J76" i="18"/>
  <c r="T381" i="18"/>
  <c r="J195" i="18"/>
  <c r="T314" i="18"/>
  <c r="U439" i="18"/>
  <c r="I56" i="18"/>
  <c r="J53" i="18"/>
  <c r="J56" i="18" s="1"/>
  <c r="J358" i="18"/>
  <c r="T172" i="18"/>
  <c r="N186" i="18"/>
  <c r="T186" i="18" s="1"/>
  <c r="L195" i="18"/>
  <c r="T231" i="18"/>
  <c r="N235" i="18"/>
  <c r="U420" i="18"/>
  <c r="U410" i="18"/>
  <c r="T255" i="18"/>
  <c r="U110" i="18"/>
  <c r="T263" i="18"/>
  <c r="U240" i="18"/>
  <c r="U278" i="18"/>
  <c r="U96" i="18"/>
  <c r="U103" i="18"/>
  <c r="U373" i="18"/>
  <c r="N148" i="18"/>
  <c r="L151" i="18"/>
  <c r="O76" i="18"/>
  <c r="U38" i="18"/>
  <c r="O30" i="18"/>
  <c r="N392" i="18"/>
  <c r="L397" i="18"/>
  <c r="T396" i="18"/>
  <c r="J425" i="18"/>
  <c r="J446" i="18" s="1"/>
  <c r="I446" i="18"/>
  <c r="T341" i="18"/>
  <c r="U274" i="18"/>
  <c r="T268" i="18"/>
  <c r="O376" i="18"/>
  <c r="U254" i="18"/>
  <c r="U46" i="18"/>
  <c r="U390" i="18"/>
  <c r="N30" i="18"/>
  <c r="U190" i="18"/>
  <c r="O346" i="18"/>
  <c r="U382" i="18"/>
  <c r="O397" i="18"/>
  <c r="O19" i="18"/>
  <c r="U363" i="18"/>
  <c r="T194" i="18"/>
  <c r="T193" i="18"/>
  <c r="I76" i="18"/>
  <c r="T337" i="18"/>
  <c r="U27" i="18"/>
  <c r="O302" i="18"/>
  <c r="U267" i="18"/>
  <c r="T70" i="18"/>
  <c r="O209" i="18"/>
  <c r="N133" i="18"/>
  <c r="L139" i="18"/>
  <c r="U280" i="18"/>
  <c r="T12" i="18"/>
  <c r="U262" i="18"/>
  <c r="U82" i="18"/>
  <c r="N315" i="18"/>
  <c r="L320" i="18"/>
  <c r="N364" i="18"/>
  <c r="L366" i="18"/>
  <c r="T189" i="18"/>
  <c r="N101" i="18"/>
  <c r="L104" i="18"/>
  <c r="N371" i="18"/>
  <c r="L376" i="18"/>
  <c r="T119" i="18"/>
  <c r="I295" i="18"/>
  <c r="N261" i="18"/>
  <c r="L295" i="18"/>
  <c r="T326" i="18"/>
  <c r="U203" i="18"/>
  <c r="U269" i="18"/>
  <c r="U53" i="18"/>
  <c r="U294" i="18"/>
  <c r="U242" i="18"/>
  <c r="U271" i="18"/>
  <c r="U241" i="18"/>
  <c r="N10" i="18"/>
  <c r="L19" i="18"/>
  <c r="N116" i="18"/>
  <c r="L122" i="18"/>
  <c r="N81" i="18"/>
  <c r="L83" i="18"/>
  <c r="U47" i="18"/>
  <c r="U188" i="18"/>
  <c r="N248" i="18"/>
  <c r="U202" i="18"/>
  <c r="K403" i="18"/>
  <c r="U132" i="18"/>
  <c r="T340" i="18"/>
  <c r="U164" i="18"/>
  <c r="T9" i="18"/>
  <c r="U102" i="18"/>
  <c r="N45" i="18"/>
  <c r="O320" i="18"/>
  <c r="U301" i="18"/>
  <c r="L76" i="18"/>
  <c r="U355" i="18"/>
  <c r="N409" i="18"/>
  <c r="N446" i="18" s="1"/>
  <c r="L446" i="18"/>
  <c r="T342" i="18"/>
  <c r="T63" i="18"/>
  <c r="U180" i="18"/>
  <c r="U215" i="18"/>
  <c r="U147" i="18"/>
  <c r="U121" i="18"/>
  <c r="U13" i="18"/>
  <c r="O446" i="18"/>
  <c r="K76" i="18"/>
  <c r="K295" i="18"/>
  <c r="N336" i="18"/>
  <c r="L346" i="18"/>
  <c r="O295" i="18"/>
  <c r="T319" i="18"/>
  <c r="T335" i="18"/>
  <c r="T300" i="18"/>
  <c r="T75" i="18"/>
  <c r="U127" i="18"/>
  <c r="U150" i="18"/>
  <c r="T394" i="18"/>
  <c r="U60" i="18"/>
  <c r="T276" i="18"/>
  <c r="L30" i="18"/>
  <c r="U72" i="18"/>
  <c r="T15" i="18"/>
  <c r="O195" i="18"/>
  <c r="T18" i="18"/>
  <c r="U275" i="18" l="1"/>
  <c r="U272" i="18"/>
  <c r="J309" i="18"/>
  <c r="U339" i="18"/>
  <c r="U318" i="18"/>
  <c r="U265" i="18"/>
  <c r="T248" i="18"/>
  <c r="U407" i="18"/>
  <c r="U316" i="18"/>
  <c r="U258" i="18"/>
  <c r="Q15" i="22"/>
  <c r="U118" i="18"/>
  <c r="N97" i="18"/>
  <c r="T95" i="18"/>
  <c r="U62" i="18"/>
  <c r="U25" i="18"/>
  <c r="T30" i="18"/>
  <c r="U257" i="18"/>
  <c r="U345" i="18"/>
  <c r="U89" i="18"/>
  <c r="U90" i="18" s="1"/>
  <c r="T90" i="18"/>
  <c r="U26" i="18"/>
  <c r="T112" i="18"/>
  <c r="O448" i="18"/>
  <c r="U402" i="18"/>
  <c r="T224" i="18"/>
  <c r="N225" i="18"/>
  <c r="U213" i="18"/>
  <c r="U219" i="18" s="1"/>
  <c r="T195" i="18"/>
  <c r="U231" i="18"/>
  <c r="U235" i="18" s="1"/>
  <c r="T235" i="18"/>
  <c r="U273" i="18"/>
  <c r="U165" i="18"/>
  <c r="U167" i="18" s="1"/>
  <c r="T175" i="18"/>
  <c r="T182" i="18" s="1"/>
  <c r="N182" i="18"/>
  <c r="U329" i="18"/>
  <c r="N309" i="18"/>
  <c r="T307" i="18"/>
  <c r="U325" i="18"/>
  <c r="U186" i="18"/>
  <c r="T385" i="18"/>
  <c r="U255" i="18"/>
  <c r="N199" i="18"/>
  <c r="N195" i="18"/>
  <c r="T54" i="18"/>
  <c r="N56" i="18"/>
  <c r="U279" i="18"/>
  <c r="U172" i="18"/>
  <c r="T167" i="18"/>
  <c r="U381" i="18"/>
  <c r="U385" i="18" s="1"/>
  <c r="U314" i="18"/>
  <c r="U8" i="18"/>
  <c r="U179" i="18"/>
  <c r="N41" i="18"/>
  <c r="T34" i="18"/>
  <c r="U260" i="18"/>
  <c r="N358" i="18"/>
  <c r="T351" i="18"/>
  <c r="U401" i="18"/>
  <c r="T403" i="18"/>
  <c r="U263" i="18"/>
  <c r="N104" i="18"/>
  <c r="T101" i="18"/>
  <c r="U337" i="18"/>
  <c r="U63" i="18"/>
  <c r="N295" i="18"/>
  <c r="T261" i="18"/>
  <c r="U189" i="18"/>
  <c r="U394" i="18"/>
  <c r="U335" i="18"/>
  <c r="N49" i="18"/>
  <c r="T45" i="18"/>
  <c r="U70" i="18"/>
  <c r="U276" i="18"/>
  <c r="U319" i="18"/>
  <c r="U9" i="18"/>
  <c r="N19" i="18"/>
  <c r="T10" i="18"/>
  <c r="T19" i="18" s="1"/>
  <c r="T315" i="18"/>
  <c r="N320" i="18"/>
  <c r="U268" i="18"/>
  <c r="U341" i="18"/>
  <c r="U18" i="18"/>
  <c r="T76" i="18"/>
  <c r="U342" i="18"/>
  <c r="U119" i="18"/>
  <c r="U112" i="18"/>
  <c r="U15" i="18"/>
  <c r="N346" i="18"/>
  <c r="T336" i="18"/>
  <c r="T346" i="18" s="1"/>
  <c r="T409" i="18"/>
  <c r="U340" i="18"/>
  <c r="N83" i="18"/>
  <c r="T81" i="18"/>
  <c r="U326" i="18"/>
  <c r="N366" i="18"/>
  <c r="T364" i="18"/>
  <c r="N139" i="18"/>
  <c r="T133" i="18"/>
  <c r="U193" i="18"/>
  <c r="U396" i="18"/>
  <c r="U75" i="18"/>
  <c r="N376" i="18"/>
  <c r="T371" i="18"/>
  <c r="U248" i="18"/>
  <c r="U300" i="18"/>
  <c r="T302" i="18"/>
  <c r="N122" i="18"/>
  <c r="T116" i="18"/>
  <c r="U12" i="18"/>
  <c r="U194" i="18"/>
  <c r="N397" i="18"/>
  <c r="T392" i="18"/>
  <c r="N151" i="18"/>
  <c r="T148" i="18"/>
  <c r="U30" i="18" l="1"/>
  <c r="U403" i="18"/>
  <c r="T97" i="18"/>
  <c r="U95" i="18"/>
  <c r="U97" i="18" s="1"/>
  <c r="U224" i="18"/>
  <c r="U225" i="18" s="1"/>
  <c r="T225" i="18"/>
  <c r="U195" i="18"/>
  <c r="U302" i="18"/>
  <c r="U34" i="18"/>
  <c r="U41" i="18" s="1"/>
  <c r="T41" i="18"/>
  <c r="U54" i="18"/>
  <c r="U56" i="18" s="1"/>
  <c r="T56" i="18"/>
  <c r="U175" i="18"/>
  <c r="U182" i="18" s="1"/>
  <c r="U76" i="18"/>
  <c r="U351" i="18"/>
  <c r="U358" i="18" s="1"/>
  <c r="T358" i="18"/>
  <c r="T199" i="18"/>
  <c r="N209" i="18"/>
  <c r="N448" i="18" s="1"/>
  <c r="T309" i="18"/>
  <c r="U307" i="18"/>
  <c r="U133" i="18"/>
  <c r="U139" i="18" s="1"/>
  <c r="T139" i="18"/>
  <c r="U336" i="18"/>
  <c r="U346" i="18" s="1"/>
  <c r="U101" i="18"/>
  <c r="U104" i="18" s="1"/>
  <c r="T104" i="18"/>
  <c r="U148" i="18"/>
  <c r="U151" i="18" s="1"/>
  <c r="T151" i="18"/>
  <c r="U81" i="18"/>
  <c r="U83" i="18" s="1"/>
  <c r="T83" i="18"/>
  <c r="U364" i="18"/>
  <c r="U366" i="18" s="1"/>
  <c r="T366" i="18"/>
  <c r="U371" i="18"/>
  <c r="U376" i="18" s="1"/>
  <c r="T376" i="18"/>
  <c r="U10" i="18"/>
  <c r="U19" i="18" s="1"/>
  <c r="U392" i="18"/>
  <c r="U397" i="18" s="1"/>
  <c r="T397" i="18"/>
  <c r="U116" i="18"/>
  <c r="U122" i="18" s="1"/>
  <c r="T122" i="18"/>
  <c r="U45" i="18"/>
  <c r="U49" i="18" s="1"/>
  <c r="T49" i="18"/>
  <c r="U261" i="18"/>
  <c r="U295" i="18" s="1"/>
  <c r="T295" i="18"/>
  <c r="U409" i="18"/>
  <c r="U446" i="18" s="1"/>
  <c r="T446" i="18"/>
  <c r="U315" i="18"/>
  <c r="U320" i="18" s="1"/>
  <c r="T320" i="18"/>
  <c r="Q12" i="22" l="1"/>
  <c r="Q16" i="22" s="1"/>
  <c r="S16" i="22"/>
  <c r="U309" i="18"/>
  <c r="U199" i="18"/>
  <c r="U209" i="18" s="1"/>
  <c r="T209" i="18"/>
  <c r="T448" i="18" s="1"/>
  <c r="U448" i="18" l="1"/>
  <c r="H21" i="22"/>
  <c r="F21" i="22" l="1"/>
  <c r="I448" i="18"/>
  <c r="I49" i="18"/>
  <c r="M49" i="18"/>
  <c r="M448" i="18"/>
  <c r="K448" i="18"/>
  <c r="K49" i="18"/>
  <c r="J448" i="18"/>
  <c r="J49" i="18"/>
  <c r="L49" i="18"/>
  <c r="L448" i="18"/>
</calcChain>
</file>

<file path=xl/sharedStrings.xml><?xml version="1.0" encoding="utf-8"?>
<sst xmlns="http://schemas.openxmlformats.org/spreadsheetml/2006/main" count="1398" uniqueCount="495">
  <si>
    <t>LOURDES CURIEL FREGOSO</t>
  </si>
  <si>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</si>
  <si>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</si>
  <si>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</si>
  <si>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</si>
  <si>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</si>
  <si>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</si>
  <si>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</si>
  <si>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</si>
  <si>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</si>
  <si>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</si>
  <si>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</si>
  <si>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</si>
  <si>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</si>
  <si>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</si>
  <si>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</si>
  <si>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</si>
  <si>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</si>
  <si>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</si>
  <si>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</si>
  <si>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</si>
  <si>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</si>
  <si>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</si>
  <si>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</si>
  <si>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</si>
  <si>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</si>
  <si>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</si>
  <si>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</si>
  <si>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</si>
  <si>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</si>
  <si>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</si>
  <si>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</si>
  <si>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</si>
  <si>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RAUL ANTONIO CARDENAS IBARRA</t>
  </si>
  <si>
    <t>LUIS SOLIS BRAVO</t>
  </si>
  <si>
    <t>JOAQUIN SOLIS MARTINEZ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</si>
  <si>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</si>
  <si>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</si>
  <si>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</si>
  <si>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</si>
  <si>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</si>
  <si>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</si>
  <si>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</si>
  <si>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</si>
  <si>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</si>
  <si>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</si>
  <si>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</si>
  <si>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</si>
  <si>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</si>
  <si>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</si>
  <si>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</si>
  <si>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</si>
  <si>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</si>
  <si>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</si>
  <si>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</si>
  <si>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</si>
  <si>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</si>
  <si>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</si>
  <si>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</si>
  <si>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</si>
  <si>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</si>
  <si>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</si>
  <si>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LUIS ANTONIO  HERNANDEZ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</si>
  <si>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</si>
  <si>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</si>
  <si>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</si>
  <si>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</si>
  <si>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</si>
  <si>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</si>
  <si>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</si>
  <si>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</si>
  <si>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</si>
  <si>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</si>
  <si>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</si>
  <si>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</si>
  <si>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</si>
  <si>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</si>
  <si>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</si>
  <si>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</si>
  <si>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</si>
  <si>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</si>
  <si>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</si>
  <si>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</si>
  <si>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</si>
  <si>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</si>
  <si>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</si>
  <si>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</si>
  <si>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</si>
  <si>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</si>
  <si>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</si>
  <si>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</si>
  <si>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</si>
  <si>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</si>
  <si>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</si>
  <si>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</si>
  <si>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</si>
  <si>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</si>
  <si>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</si>
  <si>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</si>
  <si>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</si>
  <si>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</si>
  <si>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</si>
  <si>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</si>
  <si>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</si>
  <si>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</si>
  <si>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</si>
  <si>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</si>
  <si>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</si>
  <si>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</si>
  <si>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</si>
  <si>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</si>
  <si>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</si>
  <si>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</si>
  <si>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JEFE DE COMUNICACIÓN SOCIAL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</si>
  <si>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</si>
  <si>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</si>
  <si>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</si>
  <si>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</si>
  <si>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</si>
  <si>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</si>
  <si>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</si>
  <si>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</si>
  <si>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</si>
  <si>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</si>
  <si>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</si>
  <si>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</si>
  <si>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</si>
  <si>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</si>
  <si>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</si>
  <si>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</si>
  <si>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</si>
  <si>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</si>
  <si>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</si>
  <si>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</si>
  <si>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</si>
  <si>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</si>
  <si>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</si>
  <si>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</si>
  <si>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</si>
  <si>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</si>
  <si>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</si>
  <si>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TABLA DEL SUBSIDIO PARA EL EMPLEO MENSUAL ENERO-DICIEMBRE 2016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</si>
  <si>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</si>
  <si>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</si>
  <si>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</si>
  <si>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</si>
  <si>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</si>
  <si>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</si>
  <si>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</si>
  <si>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</si>
  <si>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</si>
  <si>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</si>
  <si>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</si>
  <si>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</si>
  <si>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</si>
  <si>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</si>
  <si>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</si>
  <si>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</si>
  <si>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</si>
  <si>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</si>
  <si>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</si>
  <si>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</si>
  <si>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</si>
  <si>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</si>
  <si>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</si>
  <si>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</si>
  <si>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</si>
  <si>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</si>
  <si>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</si>
  <si>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</si>
  <si>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</si>
  <si>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JORGE ALFREDO ROMERO  HERRERA</t>
  </si>
  <si>
    <t>JOSE NEREO CRUZ LORENZO</t>
  </si>
  <si>
    <t>ADILENE MARIBEL GUZMAN RODRIGUEZ</t>
  </si>
  <si>
    <t>RAFAEL ESPARZA RUIZ</t>
  </si>
  <si>
    <t>IRAK DAGOBERTO DIAZ RAMOS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</si>
  <si>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</si>
  <si>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</si>
  <si>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</si>
  <si>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</si>
  <si>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</si>
  <si>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</si>
  <si>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</si>
  <si>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</si>
  <si>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</si>
  <si>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</si>
  <si>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</si>
  <si>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</si>
  <si>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</si>
  <si>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</si>
  <si>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</si>
  <si>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</si>
  <si>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</si>
  <si>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</si>
  <si>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</si>
  <si>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</si>
  <si>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</si>
  <si>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</si>
  <si>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</si>
  <si>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</si>
  <si>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</si>
  <si>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</si>
  <si>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</si>
  <si>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</si>
  <si>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</si>
  <si>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</si>
  <si>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</si>
  <si>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</si>
  <si>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</si>
  <si>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</si>
  <si>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</si>
  <si>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</si>
  <si>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</si>
  <si>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</si>
  <si>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</si>
  <si>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</si>
  <si>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</si>
  <si>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</si>
  <si>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</si>
  <si>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</si>
  <si>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</si>
  <si>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</si>
  <si>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</si>
  <si>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</si>
  <si>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</si>
  <si>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</si>
  <si>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</si>
  <si>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</si>
  <si>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</si>
  <si>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</si>
  <si>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</si>
  <si>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</si>
  <si>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</si>
  <si>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</si>
  <si>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</si>
  <si>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</si>
  <si>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</si>
  <si>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</si>
  <si>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</si>
  <si>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</si>
  <si>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</si>
  <si>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</si>
  <si>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</si>
  <si>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EDSON OSVALDO CASITLLON MORA</t>
  </si>
  <si>
    <t>PLAZA VACANTE</t>
  </si>
  <si>
    <t>ALEXIS IVAN RODRIGUEZ ORTEGA</t>
  </si>
  <si>
    <t>JESUS JOYA DAVILA</t>
  </si>
  <si>
    <t>CINTHIA NAZARET AMARAL ESQUIVEL</t>
  </si>
  <si>
    <t>FRANCISCO JAVIER LOPEZ ESPINOZA</t>
  </si>
  <si>
    <t>MERCEDES GONZALEZ HERNANDEZ</t>
  </si>
  <si>
    <t>PARAMEDICO</t>
  </si>
  <si>
    <t>JENIFFER ZAMANTHA ARAIZA CURIEL</t>
  </si>
  <si>
    <t>JOSE MARIA SOLIS RODRIGUEZ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</si>
  <si>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</si>
  <si>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</si>
  <si>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</si>
  <si>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</si>
  <si>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</si>
  <si>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SERGIO SOTO ALVAREZ</t>
  </si>
  <si>
    <t>ASESOR JURIDICO</t>
  </si>
  <si>
    <t>J. JESUS CASTAÑEDA PEÑA</t>
  </si>
  <si>
    <t>LILLIA HAYDEE MUÑOZ BECERRA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</si>
  <si>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</si>
  <si>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</si>
  <si>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</si>
  <si>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</si>
  <si>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</si>
  <si>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</si>
  <si>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</si>
  <si>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</si>
  <si>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</si>
  <si>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</si>
  <si>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ENCARGADO DEL INSTITUTO DE LA JUVENTUD</t>
  </si>
  <si>
    <t>ARIANA ERENDIRA BAÑUELOS GOMEZ</t>
  </si>
  <si>
    <t>GILBERTO GOMEZ GORDIAN</t>
  </si>
  <si>
    <t>JOSE ALFREDO GALINDO VELTRAN</t>
  </si>
  <si>
    <t>LUZ ADELA RODRIGUEZ CASTILLON</t>
  </si>
  <si>
    <t>CINDY DANIARI GONZALEZ BETANCOURT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</si>
  <si>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</si>
  <si>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</si>
  <si>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</si>
  <si>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</si>
  <si>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</si>
  <si>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</si>
  <si>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</si>
  <si>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</si>
  <si>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</si>
  <si>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</si>
  <si>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</si>
  <si>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</si>
  <si>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</si>
  <si>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</si>
  <si>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</si>
  <si>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</si>
  <si>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</si>
  <si>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JOSE RAMIRO CASTILLON RODRIGUEZ</t>
  </si>
  <si>
    <t>MAGDA VIANEY ESPINOSA AVILA</t>
  </si>
  <si>
    <t>KARLA YESENIA CARDENAS AGUIRRE</t>
  </si>
  <si>
    <t>AUXILIAR ADMIINISTRATIVO</t>
  </si>
  <si>
    <t>MIGUEL ANGEL GARCIA MARISCAL</t>
  </si>
  <si>
    <t>IRVING ARTURO PEREZ CASTELLON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</si>
  <si>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</si>
  <si>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</si>
  <si>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</si>
  <si>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</si>
  <si>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</si>
  <si>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</si>
  <si>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</si>
  <si>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</si>
  <si>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</si>
  <si>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</si>
  <si>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</si>
  <si>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</si>
  <si>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</si>
  <si>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</si>
  <si>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PERSONAL CON PAGO EN CHEQUE</t>
  </si>
  <si>
    <t>RELACION DE CHEQUES</t>
  </si>
  <si>
    <t>OSCAR ALEJANDRO ALCARAZ SERNA</t>
  </si>
  <si>
    <t>JESUS GABRIEL MORA SOLIS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</si>
  <si>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</si>
  <si>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</si>
  <si>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</si>
  <si>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</si>
  <si>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</si>
  <si>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</si>
  <si>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AGENTE  OPERATIVO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</si>
  <si>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</si>
  <si>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</si>
  <si>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</si>
  <si>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</si>
  <si>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</si>
  <si>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</si>
  <si>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</si>
  <si>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</si>
  <si>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</si>
  <si>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</si>
  <si>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</si>
  <si>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</si>
  <si>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</si>
  <si>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</si>
  <si>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01 DE ENERO DE 2020</t>
  </si>
  <si>
    <t>Publicadas en el DOF el 06 de Enero de 2020</t>
  </si>
  <si>
    <t>TARIFA DEL IMPUESTO QUINCENAL 2020</t>
  </si>
  <si>
    <t>JOSE DE JESUS NAVARRO CORONA</t>
  </si>
  <si>
    <t>JULIAN GUSTAVO GALINDO VELTRAN</t>
  </si>
  <si>
    <t>JORGE HERNANDEZ RIOS</t>
  </si>
  <si>
    <t>MARIA ERENDIDA SOTO GONZALEZ</t>
  </si>
  <si>
    <t>JOSE GUADALUPE GONZALEZ HERNANDEZ</t>
  </si>
  <si>
    <t>MARIBEL NUÑEZ ESPARZA</t>
  </si>
  <si>
    <t>LUIS ANGEL VILLALOBOS GORDIAN</t>
  </si>
  <si>
    <t>OSWALDO YUBAN CRUZ CRUZ</t>
  </si>
  <si>
    <t>ARMANDO JOYA RIVERA</t>
  </si>
  <si>
    <t>JOSE MANUEL PANTOJA ARIAS</t>
  </si>
  <si>
    <t>ROSA MARIA ROMERO PEREZ</t>
  </si>
  <si>
    <t>ENLACE DE PROGRAMAS</t>
  </si>
  <si>
    <t>ROSALIO CASTILLON RODRIGUEZ</t>
  </si>
  <si>
    <t>BRAYAN DAVID CALVILLO HINOJOSA</t>
  </si>
  <si>
    <t>JOSE DE JESUS DELGADO VALDEZ</t>
  </si>
  <si>
    <t>BRAYAN ANTONIO BELMAN GALEANA</t>
  </si>
  <si>
    <t>ELIAS IBARRA GOMEZ</t>
  </si>
  <si>
    <t>JEFE DE AGUA POTABLE</t>
  </si>
  <si>
    <t>PERLA LUCINA CRUZ GORDIAN</t>
  </si>
  <si>
    <t>ENCARGADA DE BIBLIOTECA MPAL.</t>
  </si>
  <si>
    <t>ALDO RAUL VICENTE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</si>
  <si>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</si>
  <si>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</si>
  <si>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</si>
  <si>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</si>
  <si>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</si>
  <si>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ALFREDO SOLIS</t>
  </si>
  <si>
    <t>BRIANDA IBARRA PEÑA</t>
  </si>
  <si>
    <t>ARISELDA OLIVERA MORENO</t>
  </si>
  <si>
    <t>IVAN DE JESUS BAÑUELOS CASTILLON</t>
  </si>
  <si>
    <t>YULIANNA GETZEMANI OLIVERA BERNAL</t>
  </si>
  <si>
    <t>JOSE MANUEL PANTOJA CASTELLANOS</t>
  </si>
  <si>
    <t>MARIA ROSARIO LOPEZ MICHEL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</si>
  <si>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</si>
  <si>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</si>
  <si>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</si>
  <si>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</si>
  <si>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</si>
  <si>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JUAN CALOS JOYA SANCHEZ</t>
  </si>
  <si>
    <t>AUXILIAR EN RASTRO MPAL.</t>
  </si>
  <si>
    <t>JUAN CANDIDO MORFIN</t>
  </si>
  <si>
    <t>FELIPE DE JESUS CASILLAS CAMACHO</t>
  </si>
  <si>
    <t>ALICIA BRAVO NUÑEZ</t>
  </si>
  <si>
    <t>AUXILIAR DE COCINA EN CADI</t>
  </si>
  <si>
    <t>JESUS HARIF SANCHEZ HORTA</t>
  </si>
  <si>
    <t>JOSE ARMANDO GONZAGA GARCIA</t>
  </si>
  <si>
    <t>LUIS RODRIGO NUÑEZ GOMEZ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</si>
  <si>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</si>
  <si>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</si>
  <si>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</si>
  <si>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</si>
  <si>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</si>
  <si>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CLAUDIA YANELI MENDOZA RODRIGUEZ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</si>
  <si>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</si>
  <si>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</si>
  <si>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</si>
  <si>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</si>
  <si>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</si>
  <si>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</si>
  <si>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</si>
  <si>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</si>
  <si>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</si>
  <si>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</si>
  <si>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</si>
  <si>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</si>
  <si>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</si>
  <si>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</si>
  <si>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</si>
  <si>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</si>
  <si>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</si>
  <si>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</si>
  <si>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</si>
  <si>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</si>
  <si>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</si>
  <si>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</si>
  <si>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</si>
  <si>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</si>
  <si>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</si>
  <si>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ALFREDO JUAREZ CASTRO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</si>
  <si>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</si>
  <si>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</si>
  <si>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</si>
  <si>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</si>
  <si>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</si>
  <si>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</si>
  <si>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</si>
  <si>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</si>
  <si>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</si>
  <si>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</si>
  <si>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</si>
  <si>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</si>
  <si>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JUAN JOSE SILVA DE JESUS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</si>
  <si>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</si>
  <si>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</si>
  <si>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</si>
  <si>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</si>
  <si>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</si>
  <si>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</si>
  <si>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</si>
  <si>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JUAN DE DIOS VAZQUEZ ALFEREZ</t>
  </si>
  <si>
    <t>MARIA CIRIA CASTILLON GALLEGOS</t>
  </si>
  <si>
    <t>DIRECTORA DE CADI</t>
  </si>
  <si>
    <t>DANIELA CASTILLO AVENDAÑO</t>
  </si>
  <si>
    <t>SIMON COVARRUBIAS IBARRA</t>
  </si>
  <si>
    <t>ANTONIO CASTELLANO AGUILAR</t>
  </si>
  <si>
    <t>ABRIL JESSENIA MARTINEZ RENTERIA</t>
  </si>
  <si>
    <t>RIGOBERTO GONZALEZ CORONA</t>
  </si>
  <si>
    <t>MARIA DEL ROSARIO SANTANA LICEA</t>
  </si>
  <si>
    <t xml:space="preserve">JOSE JUAN CHAVEZ ROMERO </t>
  </si>
  <si>
    <t>ANGELES RAQUEL CRUZ ESTRADA</t>
  </si>
  <si>
    <t>PLAZA CON PERMISO</t>
  </si>
  <si>
    <t>JOSE ANGEL GARCIA GARCIA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</si>
  <si>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</si>
  <si>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</si>
  <si>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</si>
  <si>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</si>
  <si>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</si>
  <si>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</si>
  <si>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EDGAR AGUSTIN RADILLO SANCHEZ</t>
  </si>
  <si>
    <t>FRANCISCO MANUEL RUIZ VELAZQUEZ</t>
  </si>
  <si>
    <t>JANETH LIZBETH MARTINEZ REYNA</t>
  </si>
  <si>
    <t>JORGE ARMANDO BAÑUELOS CASTILLON</t>
  </si>
  <si>
    <t>PLAZA CON PERMISO TEMPORAL</t>
  </si>
  <si>
    <t>ALEJANDRO RODRIGUEZ JOYA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</si>
  <si>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</si>
  <si>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</si>
  <si>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</si>
  <si>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</si>
  <si>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</si>
  <si>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</si>
  <si>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</si>
  <si>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</si>
  <si>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</si>
  <si>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</si>
  <si>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</si>
  <si>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</si>
  <si>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COORDINADOR DE GESTION ADTIVA.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</si>
  <si>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</si>
  <si>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</si>
  <si>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</si>
  <si>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</si>
  <si>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</si>
  <si>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HECTOR BORBON REYES</t>
  </si>
  <si>
    <t>DISPERSIONES DE OTROS BANCOS</t>
  </si>
  <si>
    <t>Num.</t>
  </si>
  <si>
    <t>BANCO</t>
  </si>
  <si>
    <t>NUM. DE CUENTA</t>
  </si>
  <si>
    <t>CLABE INTERBANCARIA</t>
  </si>
  <si>
    <t>ELBA LUCERO LEPE QUINTERO</t>
  </si>
  <si>
    <t>PERIODO DEL 01 AL 15 DE ENERO DEL 2022</t>
  </si>
  <si>
    <t>MARCO ANTONIO GONZALEZ HARO</t>
  </si>
  <si>
    <t>SUBDIRECTOR DE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</si>
</sst>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3">
    <xf numFmtId="0" fontId="0" fillId="0" borderId="0" xfId="0"/>
    <xf numFmtId="0" fontId="6" fillId="3" borderId="0" xfId="0" applyNumberFormat="1" applyFont="1" applyFill="1" applyBorder="1" applyAlignment="1" applyProtection="1">
      <alignment horizontal="centerContinuous"/>
    </xf>
    <xf numFmtId="0" fontId="0" fillId="3" borderId="0" xfId="0" applyNumberFormat="1" applyFill="1" applyBorder="1" applyAlignment="1" applyProtection="1"/>
    <xf numFmtId="0" fontId="7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>
      <alignment horizontal="centerContinuous"/>
    </xf>
    <xf numFmtId="0" fontId="6" fillId="3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>
      <alignment horizontal="center"/>
    </xf>
    <xf numFmtId="43" fontId="7" fillId="3" borderId="0" xfId="1" applyFont="1" applyFill="1" applyBorder="1" applyAlignment="1" applyProtection="1"/>
    <xf numFmtId="10" fontId="7" fillId="3" borderId="0" xfId="0" applyNumberFormat="1" applyFont="1" applyFill="1" applyBorder="1" applyAlignment="1" applyProtection="1"/>
    <xf numFmtId="2" fontId="0" fillId="3" borderId="0" xfId="0" applyNumberFormat="1" applyFill="1" applyBorder="1" applyAlignment="1" applyProtection="1"/>
    <xf numFmtId="0" fontId="2" fillId="0" borderId="0" xfId="0" applyFont="1" applyAlignment="1">
      <alignment horizont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center" vertical="center"/>
    </xf>
    <xf numFmtId="0" fontId="2" fillId="6" borderId="1" xfId="2" applyNumberFormat="1" applyFont="1" applyFill="1" applyBorder="1" applyAlignment="1">
      <alignment horizontal="center" vertical="center"/>
    </xf>
    <xf numFmtId="43" fontId="1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3" fontId="15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2" applyNumberFormat="1" applyFont="1" applyFill="1" applyBorder="1" applyAlignment="1">
      <alignment horizontal="center" vertical="center"/>
    </xf>
    <xf numFmtId="0" fontId="4" fillId="6" borderId="1" xfId="2" applyNumberFormat="1" applyFont="1" applyFill="1" applyBorder="1" applyAlignment="1">
      <alignment horizontal="center" vertical="center"/>
    </xf>
    <xf numFmtId="164" fontId="0" fillId="0" borderId="0" xfId="0" applyNumberFormat="1"/>
    <xf numFmtId="0" fontId="16" fillId="0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43" fontId="2" fillId="6" borderId="1" xfId="1" applyFont="1" applyFill="1" applyBorder="1" applyAlignment="1">
      <alignment horizontal="center" vertical="center"/>
    </xf>
    <xf numFmtId="44" fontId="2" fillId="6" borderId="1" xfId="2" applyFont="1" applyFill="1" applyBorder="1" applyAlignment="1">
      <alignment horizontal="center" vertical="center"/>
    </xf>
    <xf numFmtId="43" fontId="2" fillId="6" borderId="1" xfId="0" applyNumberFormat="1" applyFont="1" applyFill="1" applyBorder="1" applyAlignment="1">
      <alignment horizontal="center" vertical="center"/>
    </xf>
    <xf numFmtId="10" fontId="2" fillId="6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/>
    </xf>
    <xf numFmtId="43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43" fontId="13" fillId="2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13" fillId="2" borderId="0" xfId="1" applyFont="1" applyFill="1" applyBorder="1" applyAlignment="1">
      <alignment horizontal="right" vertical="center"/>
    </xf>
    <xf numFmtId="43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3" fontId="13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43" fontId="4" fillId="6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3" fontId="13" fillId="0" borderId="0" xfId="0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 wrapText="1"/>
    </xf>
    <xf numFmtId="0" fontId="2" fillId="2" borderId="0" xfId="1" applyNumberFormat="1" applyFont="1" applyFill="1" applyBorder="1" applyAlignment="1">
      <alignment horizontal="left" vertical="center"/>
    </xf>
    <xf numFmtId="43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43" fontId="13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43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/>
    </xf>
    <xf numFmtId="43" fontId="2" fillId="6" borderId="1" xfId="1" applyFont="1" applyFill="1" applyBorder="1" applyAlignment="1">
      <alignment horizontal="center" vertical="center" wrapText="1"/>
    </xf>
    <xf numFmtId="43" fontId="2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3" fontId="22" fillId="6" borderId="1" xfId="1" applyFont="1" applyFill="1" applyBorder="1" applyAlignment="1">
      <alignment horizontal="center" vertical="center"/>
    </xf>
    <xf numFmtId="43" fontId="22" fillId="6" borderId="1" xfId="0" applyNumberFormat="1" applyFont="1" applyFill="1" applyBorder="1" applyAlignment="1">
      <alignment horizontal="center" vertical="center"/>
    </xf>
    <xf numFmtId="10" fontId="22" fillId="6" borderId="1" xfId="0" applyNumberFormat="1" applyFont="1" applyFill="1" applyBorder="1" applyAlignment="1">
      <alignment horizontal="center" vertical="center"/>
    </xf>
    <xf numFmtId="43" fontId="13" fillId="0" borderId="0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43" fontId="4" fillId="6" borderId="1" xfId="0" applyNumberFormat="1" applyFont="1" applyFill="1" applyBorder="1" applyAlignment="1">
      <alignment horizontal="center" vertical="center"/>
    </xf>
    <xf numFmtId="10" fontId="4" fillId="6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right"/>
    </xf>
    <xf numFmtId="43" fontId="13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right" vertical="center"/>
    </xf>
    <xf numFmtId="44" fontId="2" fillId="0" borderId="1" xfId="2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2" fillId="6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43" fontId="13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2" applyNumberFormat="1" applyFont="1" applyFill="1" applyBorder="1" applyAlignment="1">
      <alignment horizontal="center" vertical="center"/>
    </xf>
    <xf numFmtId="43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2" applyNumberFormat="1" applyFont="1" applyFill="1" applyBorder="1" applyAlignment="1">
      <alignment horizontal="center" vertical="center"/>
    </xf>
    <xf numFmtId="43" fontId="2" fillId="7" borderId="1" xfId="1" applyFont="1" applyFill="1" applyBorder="1" applyAlignment="1">
      <alignment horizontal="center" vertical="center"/>
    </xf>
    <xf numFmtId="43" fontId="2" fillId="7" borderId="1" xfId="0" applyNumberFormat="1" applyFont="1" applyFill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4" fontId="0" fillId="0" borderId="0" xfId="0" applyNumberFormat="1"/>
    <xf numFmtId="0" fontId="5" fillId="4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3" fontId="13" fillId="0" borderId="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/>
    <xf numFmtId="0" fontId="16" fillId="0" borderId="1" xfId="0" applyFont="1" applyBorder="1" applyAlignment="1"/>
    <xf numFmtId="0" fontId="0" fillId="0" borderId="1" xfId="0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43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43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43" fontId="18" fillId="0" borderId="5" xfId="0" applyNumberFormat="1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6" fillId="0" borderId="2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3" fontId="16" fillId="0" borderId="2" xfId="0" applyNumberFormat="1" applyFont="1" applyBorder="1" applyAlignment="1">
      <alignment horizontal="center"/>
    </xf>
    <xf numFmtId="43" fontId="16" fillId="0" borderId="3" xfId="0" applyNumberFormat="1" applyFont="1" applyBorder="1" applyAlignment="1">
      <alignment horizontal="center"/>
    </xf>
    <xf numFmtId="43" fontId="16" fillId="0" borderId="1" xfId="0" applyNumberFormat="1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43" fontId="26" fillId="0" borderId="1" xfId="0" applyNumberFormat="1" applyFont="1" applyFill="1" applyBorder="1" applyAlignment="1">
      <alignment horizontal="center" vertical="center"/>
    </xf>
    <xf numFmtId="43" fontId="27" fillId="0" borderId="1" xfId="0" applyNumberFormat="1" applyFont="1" applyFill="1" applyBorder="1" applyAlignment="1">
      <alignment horizontal="center" vertical="center"/>
    </xf>
    <xf numFmtId="43" fontId="27" fillId="0" borderId="1" xfId="1" applyFont="1" applyFill="1" applyBorder="1" applyAlignment="1">
      <alignment horizontal="center" vertical="center"/>
    </xf>
    <xf numFmtId="43" fontId="26" fillId="0" borderId="1" xfId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4" fontId="26" fillId="0" borderId="1" xfId="2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27" fillId="2" borderId="1" xfId="1" applyFont="1" applyFill="1" applyBorder="1" applyAlignment="1">
      <alignment horizontal="center" vertical="center"/>
    </xf>
    <xf numFmtId="43" fontId="27" fillId="6" borderId="1" xfId="1" applyFont="1" applyFill="1" applyBorder="1" applyAlignment="1">
      <alignment horizontal="center" vertical="center"/>
    </xf>
    <xf numFmtId="43" fontId="27" fillId="0" borderId="1" xfId="1" applyFont="1" applyFill="1" applyBorder="1" applyAlignment="1">
      <alignment horizontal="center" vertical="center" wrapText="1"/>
    </xf>
    <xf numFmtId="43" fontId="26" fillId="2" borderId="1" xfId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43" fontId="27" fillId="0" borderId="1" xfId="0" applyNumberFormat="1" applyFont="1" applyFill="1" applyBorder="1" applyAlignment="1">
      <alignment horizontal="center" vertical="center" wrapText="1"/>
    </xf>
    <xf numFmtId="43" fontId="27" fillId="2" borderId="1" xfId="0" applyNumberFormat="1" applyFont="1" applyFill="1" applyBorder="1" applyAlignment="1">
      <alignment horizontal="center" vertical="center" wrapText="1"/>
    </xf>
    <xf numFmtId="43" fontId="27" fillId="6" borderId="1" xfId="0" applyNumberFormat="1" applyFont="1" applyFill="1" applyBorder="1" applyAlignment="1">
      <alignment horizontal="center" vertical="center" wrapText="1"/>
    </xf>
    <xf numFmtId="43" fontId="27" fillId="0" borderId="1" xfId="0" applyNumberFormat="1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105434</xdr:rowOff>
    </xdr:from>
    <xdr:to>
      <xdr:col>1</xdr:col>
      <xdr:colOff>1246374</xdr:colOff>
      <xdr:row>3</xdr:row>
      <xdr:rowOff>218341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591" y="105434"/>
          <a:ext cx="1250673" cy="1138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9</xdr:col>
      <xdr:colOff>222885</xdr:colOff>
      <xdr:row>1</xdr:row>
      <xdr:rowOff>64028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80C0CA7D-DE60-4FEC-801A-498E663D2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269768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8"/>
  <sheetViews>
    <sheetView tabSelected="1" zoomScale="78" zoomScaleNormal="78" workbookViewId="0">
      <selection activeCell="P9" sqref="P9:S17"/>
    </sheetView>
  </sheetViews>
  <sheetFormatPr baseColWidth="10" defaultColWidth="11.42578125" defaultRowHeight="12" x14ac:dyDescent="0.25"/>
  <cols>
    <col min="1" max="1" width="5.7109375" style="44" customWidth="1"/>
    <col min="2" max="2" width="33.85546875" style="106" customWidth="1"/>
    <col min="3" max="3" width="30.28515625" style="109" customWidth="1"/>
    <col min="4" max="4" width="4.28515625" style="44" customWidth="1"/>
    <col min="5" max="5" width="8.28515625" style="44" customWidth="1"/>
    <col min="6" max="6" width="14.85546875" style="44" customWidth="1"/>
    <col min="7" max="7" width="15.7109375" style="44" customWidth="1"/>
    <col min="8" max="8" width="11.42578125" style="44" customWidth="1"/>
    <col min="9" max="9" width="13.85546875" style="44" hidden="1" customWidth="1"/>
    <col min="10" max="11" width="11.85546875" style="44" hidden="1" customWidth="1"/>
    <col min="12" max="12" width="10.42578125" style="44" hidden="1" customWidth="1"/>
    <col min="13" max="13" width="12.28515625" style="44" hidden="1" customWidth="1"/>
    <col min="14" max="14" width="12.85546875" style="44" customWidth="1"/>
    <col min="15" max="15" width="11.28515625" style="44" customWidth="1"/>
    <col min="16" max="16" width="12.42578125" style="44" customWidth="1"/>
    <col min="17" max="17" width="11.85546875" style="44" customWidth="1"/>
    <col min="18" max="18" width="14.5703125" style="44" customWidth="1"/>
    <col min="19" max="19" width="17.7109375" style="44" customWidth="1"/>
    <col min="20" max="20" width="14.85546875" style="44" customWidth="1"/>
    <col min="21" max="21" width="15.42578125" style="44" customWidth="1"/>
    <col min="22" max="22" width="2.85546875" style="45" customWidth="1"/>
    <col min="23" max="16384" width="11.42578125" style="45"/>
  </cols>
  <sheetData>
    <row r="1" spans="1:21" ht="28.5" x14ac:dyDescent="0.25">
      <c r="A1" s="191" t="s">
        <v>239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1" ht="26.25" x14ac:dyDescent="0.25">
      <c r="A2" s="199" t="s">
        <v>405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21" ht="26.25" x14ac:dyDescent="0.25">
      <c r="A3" s="200" t="s">
        <v>415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1:21" ht="21" x14ac:dyDescent="0.25">
      <c r="A4" s="201" t="s">
        <v>492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</row>
    <row r="5" spans="1:21" x14ac:dyDescent="0.25">
      <c r="A5" s="31"/>
      <c r="B5" s="46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15.75" x14ac:dyDescent="0.2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</row>
    <row r="7" spans="1:21" s="44" customFormat="1" ht="36.75" customHeight="1" x14ac:dyDescent="0.25">
      <c r="A7" s="32" t="s">
        <v>57</v>
      </c>
      <c r="B7" s="48" t="s">
        <v>13</v>
      </c>
      <c r="C7" s="32" t="s">
        <v>68</v>
      </c>
      <c r="D7" s="32" t="s">
        <v>21</v>
      </c>
      <c r="E7" s="32" t="s">
        <v>15</v>
      </c>
      <c r="F7" s="32" t="s">
        <v>14</v>
      </c>
      <c r="G7" s="32" t="s">
        <v>54</v>
      </c>
      <c r="H7" s="32" t="s">
        <v>60</v>
      </c>
      <c r="I7" s="49" t="s">
        <v>160</v>
      </c>
      <c r="J7" s="49" t="s">
        <v>161</v>
      </c>
      <c r="K7" s="49" t="s">
        <v>162</v>
      </c>
      <c r="L7" s="49" t="s">
        <v>163</v>
      </c>
      <c r="M7" s="32" t="s">
        <v>164</v>
      </c>
      <c r="N7" s="32" t="s">
        <v>55</v>
      </c>
      <c r="O7" s="32" t="s">
        <v>56</v>
      </c>
      <c r="P7" s="32" t="s">
        <v>16</v>
      </c>
      <c r="Q7" s="32" t="s">
        <v>242</v>
      </c>
      <c r="R7" s="32" t="s">
        <v>59</v>
      </c>
      <c r="S7" s="32" t="s">
        <v>66</v>
      </c>
      <c r="T7" s="32" t="s">
        <v>64</v>
      </c>
      <c r="U7" s="32" t="s">
        <v>65</v>
      </c>
    </row>
    <row r="8" spans="1:21" x14ac:dyDescent="0.25">
      <c r="A8" s="33">
        <v>1</v>
      </c>
      <c r="B8" s="78" t="s">
        <v>422</v>
      </c>
      <c r="C8" s="50" t="s">
        <v>69</v>
      </c>
      <c r="D8" s="11">
        <v>15</v>
      </c>
      <c r="E8" s="52">
        <v>824.36</v>
      </c>
      <c r="F8" s="53">
        <f>D8*E8</f>
        <v>12365.4</v>
      </c>
      <c r="G8" s="37"/>
      <c r="H8" s="37"/>
      <c r="I8" s="52">
        <f>VLOOKUP($F$8,Tabisr,1)</f>
        <v>11951.86</v>
      </c>
      <c r="J8" s="53">
        <f t="shared" ref="J8:J16" si="0">+F8-I8</f>
        <v>413.53999999999905</v>
      </c>
      <c r="K8" s="54">
        <f>VLOOKUP($F$8,Tabisr,4)</f>
        <v>0.23519999999999999</v>
      </c>
      <c r="L8" s="52">
        <f t="shared" ref="L8:L16" si="1">(F8-10248.01)*23.52%</f>
        <v>498.01012799999984</v>
      </c>
      <c r="M8" s="52">
        <v>1641.75</v>
      </c>
      <c r="N8" s="52">
        <f t="shared" ref="N8:N16" si="2">M8+L8</f>
        <v>2139.7601279999999</v>
      </c>
      <c r="O8" s="52">
        <f>VLOOKUP($F$8,Tabsub,3)</f>
        <v>0</v>
      </c>
      <c r="P8" s="53"/>
      <c r="Q8" s="244">
        <v>1600</v>
      </c>
      <c r="R8" s="53"/>
      <c r="S8" s="53"/>
      <c r="T8" s="53">
        <f t="shared" ref="T8:T16" si="3">F8+G8+H8-N8+O8-P8-Q8-R8-S8</f>
        <v>8625.6398719999997</v>
      </c>
      <c r="U8" s="53">
        <f t="shared" ref="U8:U16" si="4">T8-G8</f>
        <v>8625.6398719999997</v>
      </c>
    </row>
    <row r="9" spans="1:21" ht="12.75" x14ac:dyDescent="0.25">
      <c r="A9" s="33">
        <v>2</v>
      </c>
      <c r="B9" s="163" t="s">
        <v>423</v>
      </c>
      <c r="C9" s="51" t="s">
        <v>69</v>
      </c>
      <c r="D9" s="11">
        <v>15</v>
      </c>
      <c r="E9" s="52">
        <v>824.36</v>
      </c>
      <c r="F9" s="53">
        <f t="shared" ref="F9:F16" si="5">D9*E9</f>
        <v>12365.4</v>
      </c>
      <c r="G9" s="37"/>
      <c r="H9" s="37"/>
      <c r="I9" s="52">
        <f>VLOOKUP($F$9,Tabisr,1)</f>
        <v>11951.86</v>
      </c>
      <c r="J9" s="53">
        <f t="shared" si="0"/>
        <v>413.53999999999905</v>
      </c>
      <c r="K9" s="54">
        <f>VLOOKUP($F$9,Tabisr,4)</f>
        <v>0.23519999999999999</v>
      </c>
      <c r="L9" s="52">
        <f t="shared" si="1"/>
        <v>498.01012799999984</v>
      </c>
      <c r="M9" s="52">
        <v>1641.75</v>
      </c>
      <c r="N9" s="52">
        <f t="shared" si="2"/>
        <v>2139.7601279999999</v>
      </c>
      <c r="O9" s="52">
        <f>VLOOKUP($F$9,Tabsub,3)</f>
        <v>0</v>
      </c>
      <c r="P9" s="53"/>
      <c r="Q9" s="245"/>
      <c r="R9" s="53"/>
      <c r="S9" s="53"/>
      <c r="T9" s="53">
        <f t="shared" si="3"/>
        <v>10225.639872</v>
      </c>
      <c r="U9" s="53">
        <f t="shared" si="4"/>
        <v>10225.639872</v>
      </c>
    </row>
    <row r="10" spans="1:21" ht="12.75" x14ac:dyDescent="0.25">
      <c r="A10" s="33">
        <v>3</v>
      </c>
      <c r="B10" s="157" t="s">
        <v>424</v>
      </c>
      <c r="C10" s="50" t="s">
        <v>69</v>
      </c>
      <c r="D10" s="11">
        <v>15</v>
      </c>
      <c r="E10" s="52">
        <v>824.36</v>
      </c>
      <c r="F10" s="53">
        <f t="shared" si="5"/>
        <v>12365.4</v>
      </c>
      <c r="G10" s="37"/>
      <c r="H10" s="37"/>
      <c r="I10" s="52">
        <f>VLOOKUP($F$10,Tabisr,1)</f>
        <v>11951.86</v>
      </c>
      <c r="J10" s="53">
        <f t="shared" si="0"/>
        <v>413.53999999999905</v>
      </c>
      <c r="K10" s="54">
        <f>VLOOKUP($F$10,Tabisr,4)</f>
        <v>0.23519999999999999</v>
      </c>
      <c r="L10" s="52">
        <f t="shared" si="1"/>
        <v>498.01012799999984</v>
      </c>
      <c r="M10" s="52">
        <v>1641.75</v>
      </c>
      <c r="N10" s="52">
        <f t="shared" si="2"/>
        <v>2139.7601279999999</v>
      </c>
      <c r="O10" s="52">
        <f>VLOOKUP($F$10,Tabsub,3)</f>
        <v>0</v>
      </c>
      <c r="P10" s="53"/>
      <c r="Q10" s="245"/>
      <c r="R10" s="53"/>
      <c r="S10" s="53"/>
      <c r="T10" s="53">
        <f t="shared" si="3"/>
        <v>10225.639872</v>
      </c>
      <c r="U10" s="53">
        <f t="shared" si="4"/>
        <v>10225.639872</v>
      </c>
    </row>
    <row r="11" spans="1:21" ht="12.75" x14ac:dyDescent="0.25">
      <c r="A11" s="33">
        <v>4</v>
      </c>
      <c r="B11" s="163" t="s">
        <v>425</v>
      </c>
      <c r="C11" s="164" t="s">
        <v>69</v>
      </c>
      <c r="D11" s="11">
        <v>15</v>
      </c>
      <c r="E11" s="52">
        <v>824.36</v>
      </c>
      <c r="F11" s="53">
        <f t="shared" si="5"/>
        <v>12365.4</v>
      </c>
      <c r="G11" s="37"/>
      <c r="H11" s="37"/>
      <c r="I11" s="52">
        <f>VLOOKUP($F$11,Tabisr,1)</f>
        <v>11951.86</v>
      </c>
      <c r="J11" s="53">
        <f t="shared" si="0"/>
        <v>413.53999999999905</v>
      </c>
      <c r="K11" s="54">
        <f>VLOOKUP($F$11,Tabisr,4)</f>
        <v>0.23519999999999999</v>
      </c>
      <c r="L11" s="52">
        <f t="shared" si="1"/>
        <v>498.01012799999984</v>
      </c>
      <c r="M11" s="52">
        <v>1641.75</v>
      </c>
      <c r="N11" s="52">
        <f t="shared" si="2"/>
        <v>2139.7601279999999</v>
      </c>
      <c r="O11" s="52">
        <f>VLOOKUP($F$11,Tabsub,3)</f>
        <v>0</v>
      </c>
      <c r="P11" s="53"/>
      <c r="Q11" s="245"/>
      <c r="R11" s="53"/>
      <c r="S11" s="53"/>
      <c r="T11" s="53">
        <f t="shared" si="3"/>
        <v>10225.639872</v>
      </c>
      <c r="U11" s="53">
        <f t="shared" si="4"/>
        <v>10225.639872</v>
      </c>
    </row>
    <row r="12" spans="1:21" ht="12.75" x14ac:dyDescent="0.25">
      <c r="A12" s="33">
        <v>5</v>
      </c>
      <c r="B12" s="157" t="s">
        <v>426</v>
      </c>
      <c r="C12" s="56" t="s">
        <v>69</v>
      </c>
      <c r="D12" s="11">
        <v>15</v>
      </c>
      <c r="E12" s="52">
        <v>824.36</v>
      </c>
      <c r="F12" s="53">
        <f t="shared" si="5"/>
        <v>12365.4</v>
      </c>
      <c r="G12" s="37"/>
      <c r="H12" s="37"/>
      <c r="I12" s="52">
        <f>VLOOKUP($F$12,Tabisr,1)</f>
        <v>11951.86</v>
      </c>
      <c r="J12" s="53">
        <f t="shared" si="0"/>
        <v>413.53999999999905</v>
      </c>
      <c r="K12" s="54">
        <f>VLOOKUP($F$12,Tabisr,4)</f>
        <v>0.23519999999999999</v>
      </c>
      <c r="L12" s="52">
        <f t="shared" si="1"/>
        <v>498.01012799999984</v>
      </c>
      <c r="M12" s="52">
        <v>1641.75</v>
      </c>
      <c r="N12" s="52">
        <f t="shared" si="2"/>
        <v>2139.7601279999999</v>
      </c>
      <c r="O12" s="52">
        <f>VLOOKUP($F$12,Tabsub,3)</f>
        <v>0</v>
      </c>
      <c r="P12" s="53"/>
      <c r="Q12" s="245"/>
      <c r="R12" s="53"/>
      <c r="S12" s="53"/>
      <c r="T12" s="53">
        <f t="shared" si="3"/>
        <v>10225.639872</v>
      </c>
      <c r="U12" s="53">
        <f t="shared" si="4"/>
        <v>10225.639872</v>
      </c>
    </row>
    <row r="13" spans="1:21" x14ac:dyDescent="0.25">
      <c r="A13" s="33">
        <v>6</v>
      </c>
      <c r="B13" s="158" t="s">
        <v>427</v>
      </c>
      <c r="C13" s="159" t="s">
        <v>69</v>
      </c>
      <c r="D13" s="11">
        <v>15</v>
      </c>
      <c r="E13" s="52">
        <v>824.36</v>
      </c>
      <c r="F13" s="53">
        <f t="shared" ref="F13:F14" si="6">D13*E13</f>
        <v>12365.4</v>
      </c>
      <c r="G13" s="37"/>
      <c r="H13" s="37"/>
      <c r="I13" s="52">
        <f>VLOOKUP($F$12,Tabisr,1)</f>
        <v>11951.86</v>
      </c>
      <c r="J13" s="53">
        <f t="shared" ref="J13:J14" si="7">+F13-I13</f>
        <v>413.53999999999905</v>
      </c>
      <c r="K13" s="54">
        <f>VLOOKUP($F$12,Tabisr,4)</f>
        <v>0.23519999999999999</v>
      </c>
      <c r="L13" s="52">
        <f t="shared" ref="L13:L14" si="8">(F13-10248.01)*23.52%</f>
        <v>498.01012799999984</v>
      </c>
      <c r="M13" s="52">
        <v>1642.75</v>
      </c>
      <c r="N13" s="52">
        <v>2139.7600000000002</v>
      </c>
      <c r="O13" s="52">
        <f>VLOOKUP($F$12,Tabsub,3)</f>
        <v>0</v>
      </c>
      <c r="P13" s="53"/>
      <c r="Q13" s="244">
        <v>1000</v>
      </c>
      <c r="R13" s="53"/>
      <c r="S13" s="53"/>
      <c r="T13" s="53">
        <f t="shared" ref="T13:T14" si="9">F13+G13+H13-N13+O13-P13-Q13-R13-S13</f>
        <v>9225.64</v>
      </c>
      <c r="U13" s="53">
        <f t="shared" ref="U13:U14" si="10">T13-G13</f>
        <v>9225.64</v>
      </c>
    </row>
    <row r="14" spans="1:21" x14ac:dyDescent="0.25">
      <c r="A14" s="33">
        <v>7</v>
      </c>
      <c r="B14" s="158" t="s">
        <v>428</v>
      </c>
      <c r="C14" s="160" t="s">
        <v>69</v>
      </c>
      <c r="D14" s="11">
        <v>15</v>
      </c>
      <c r="E14" s="52">
        <v>824.36</v>
      </c>
      <c r="F14" s="53">
        <f t="shared" si="6"/>
        <v>12365.4</v>
      </c>
      <c r="G14" s="37"/>
      <c r="H14" s="37"/>
      <c r="I14" s="52">
        <f>VLOOKUP($F$12,Tabisr,1)</f>
        <v>11951.86</v>
      </c>
      <c r="J14" s="53">
        <f t="shared" si="7"/>
        <v>413.53999999999905</v>
      </c>
      <c r="K14" s="54">
        <f>VLOOKUP($F$12,Tabisr,4)</f>
        <v>0.23519999999999999</v>
      </c>
      <c r="L14" s="52">
        <f t="shared" si="8"/>
        <v>498.01012799999984</v>
      </c>
      <c r="M14" s="52">
        <v>1644.75</v>
      </c>
      <c r="N14" s="52">
        <v>2139.7600000000002</v>
      </c>
      <c r="O14" s="52">
        <f>VLOOKUP($F$12,Tabsub,3)</f>
        <v>0</v>
      </c>
      <c r="P14" s="53"/>
      <c r="Q14" s="245"/>
      <c r="R14" s="53"/>
      <c r="S14" s="53"/>
      <c r="T14" s="53">
        <f t="shared" si="9"/>
        <v>10225.64</v>
      </c>
      <c r="U14" s="53">
        <f t="shared" si="10"/>
        <v>10225.64</v>
      </c>
    </row>
    <row r="15" spans="1:21" ht="12" customHeight="1" x14ac:dyDescent="0.25">
      <c r="A15" s="33">
        <v>8</v>
      </c>
      <c r="B15" s="163" t="s">
        <v>429</v>
      </c>
      <c r="C15" s="164" t="s">
        <v>69</v>
      </c>
      <c r="D15" s="11">
        <v>15</v>
      </c>
      <c r="E15" s="52">
        <v>824.36</v>
      </c>
      <c r="F15" s="53">
        <f t="shared" si="5"/>
        <v>12365.4</v>
      </c>
      <c r="G15" s="37"/>
      <c r="H15" s="37"/>
      <c r="I15" s="52">
        <f>VLOOKUP($F$15,Tabisr,1)</f>
        <v>11951.86</v>
      </c>
      <c r="J15" s="53">
        <f t="shared" si="0"/>
        <v>413.53999999999905</v>
      </c>
      <c r="K15" s="54">
        <f>VLOOKUP($F$15,Tabisr,4)</f>
        <v>0.23519999999999999</v>
      </c>
      <c r="L15" s="52">
        <f t="shared" si="1"/>
        <v>498.01012799999984</v>
      </c>
      <c r="M15" s="52">
        <v>1641.75</v>
      </c>
      <c r="N15" s="52">
        <f t="shared" si="2"/>
        <v>2139.7601279999999</v>
      </c>
      <c r="O15" s="52">
        <f>VLOOKUP($F$15,Tabsub,3)</f>
        <v>0</v>
      </c>
      <c r="P15" s="53"/>
      <c r="Q15" s="245"/>
      <c r="R15" s="53"/>
      <c r="S15" s="53"/>
      <c r="T15" s="53">
        <f t="shared" si="3"/>
        <v>10225.639872</v>
      </c>
      <c r="U15" s="53">
        <f t="shared" si="4"/>
        <v>10225.639872</v>
      </c>
    </row>
    <row r="16" spans="1:21" ht="12" customHeight="1" x14ac:dyDescent="0.25">
      <c r="A16" s="33">
        <v>9</v>
      </c>
      <c r="B16" s="157" t="s">
        <v>430</v>
      </c>
      <c r="C16" s="50" t="s">
        <v>69</v>
      </c>
      <c r="D16" s="11">
        <v>15</v>
      </c>
      <c r="E16" s="52">
        <v>824.36</v>
      </c>
      <c r="F16" s="53">
        <f t="shared" si="5"/>
        <v>12365.4</v>
      </c>
      <c r="G16" s="37"/>
      <c r="H16" s="52"/>
      <c r="I16" s="52">
        <f>VLOOKUP($F$16,Tabisr,1)</f>
        <v>11951.86</v>
      </c>
      <c r="J16" s="53">
        <f t="shared" si="0"/>
        <v>413.53999999999905</v>
      </c>
      <c r="K16" s="54">
        <f>VLOOKUP($F$16,Tabisr,4)</f>
        <v>0.23519999999999999</v>
      </c>
      <c r="L16" s="52">
        <f t="shared" si="1"/>
        <v>498.01012799999984</v>
      </c>
      <c r="M16" s="52">
        <v>1641.75</v>
      </c>
      <c r="N16" s="52">
        <f t="shared" si="2"/>
        <v>2139.7601279999999</v>
      </c>
      <c r="O16" s="52">
        <f>VLOOKUP($F$16,Tabsub,3)</f>
        <v>0</v>
      </c>
      <c r="P16" s="53"/>
      <c r="Q16" s="245"/>
      <c r="R16" s="53"/>
      <c r="S16" s="53"/>
      <c r="T16" s="53">
        <f t="shared" si="3"/>
        <v>10225.639872</v>
      </c>
      <c r="U16" s="53">
        <f t="shared" si="4"/>
        <v>10225.639872</v>
      </c>
    </row>
    <row r="17" spans="1:23" x14ac:dyDescent="0.25">
      <c r="A17" s="35">
        <v>10</v>
      </c>
      <c r="B17" s="124" t="s">
        <v>244</v>
      </c>
      <c r="C17" s="124" t="s">
        <v>240</v>
      </c>
      <c r="D17" s="26"/>
      <c r="E17" s="93"/>
      <c r="F17" s="125"/>
      <c r="G17" s="93"/>
      <c r="H17" s="93"/>
      <c r="I17" s="93"/>
      <c r="J17" s="125"/>
      <c r="K17" s="126"/>
      <c r="L17" s="93"/>
      <c r="M17" s="93"/>
      <c r="N17" s="93"/>
      <c r="O17" s="93"/>
      <c r="P17" s="93"/>
      <c r="Q17" s="93"/>
      <c r="R17" s="93"/>
      <c r="S17" s="93"/>
      <c r="T17" s="125"/>
      <c r="U17" s="125"/>
    </row>
    <row r="18" spans="1:23" x14ac:dyDescent="0.25">
      <c r="A18" s="33">
        <v>11</v>
      </c>
      <c r="B18" s="67" t="s">
        <v>232</v>
      </c>
      <c r="C18" s="67" t="s">
        <v>70</v>
      </c>
      <c r="D18" s="33">
        <v>15</v>
      </c>
      <c r="E18" s="69">
        <v>263.55</v>
      </c>
      <c r="F18" s="133">
        <f>D18*E18</f>
        <v>3953.25</v>
      </c>
      <c r="G18" s="52">
        <v>400</v>
      </c>
      <c r="H18" s="52"/>
      <c r="I18" s="69">
        <f>VLOOKUP($F$48,Tabisr,1)</f>
        <v>2422.81</v>
      </c>
      <c r="J18" s="70">
        <f>+F18-I18</f>
        <v>1530.44</v>
      </c>
      <c r="K18" s="71">
        <f>VLOOKUP($F$48,Tabisr,4)</f>
        <v>0.10879999999999999</v>
      </c>
      <c r="L18" s="69">
        <f>(F18-3651.01)*16%</f>
        <v>48.358399999999968</v>
      </c>
      <c r="M18" s="69">
        <v>293.25</v>
      </c>
      <c r="N18" s="69">
        <f>M18+L18</f>
        <v>341.60839999999996</v>
      </c>
      <c r="O18" s="69"/>
      <c r="P18" s="246">
        <v>1250</v>
      </c>
      <c r="Q18" s="52"/>
      <c r="R18" s="52"/>
      <c r="S18" s="52"/>
      <c r="T18" s="70">
        <f t="shared" ref="T18" si="11">F18+G18+H18-N18+O18-P18-Q18-R18-S18</f>
        <v>2761.6415999999999</v>
      </c>
      <c r="U18" s="70">
        <f t="shared" ref="U18" si="12">T18-G18</f>
        <v>2361.6415999999999</v>
      </c>
      <c r="W18" s="55"/>
    </row>
    <row r="19" spans="1:23" x14ac:dyDescent="0.25">
      <c r="A19" s="36"/>
      <c r="B19" s="63"/>
      <c r="C19" s="63"/>
      <c r="D19" s="13" t="s">
        <v>271</v>
      </c>
      <c r="E19" s="64"/>
      <c r="F19" s="65">
        <f>SUM(F8:F18)</f>
        <v>115241.84999999998</v>
      </c>
      <c r="G19" s="65">
        <f>SUM(G8:G18)</f>
        <v>400</v>
      </c>
      <c r="H19" s="65">
        <f t="shared" ref="H19:S19" si="13">SUM(H8:H18)</f>
        <v>0</v>
      </c>
      <c r="I19" s="65">
        <f t="shared" si="13"/>
        <v>109989.55</v>
      </c>
      <c r="J19" s="65">
        <f t="shared" si="13"/>
        <v>5252.299999999992</v>
      </c>
      <c r="K19" s="65">
        <f t="shared" si="13"/>
        <v>2.2256</v>
      </c>
      <c r="L19" s="65">
        <f t="shared" si="13"/>
        <v>4530.4495519999982</v>
      </c>
      <c r="M19" s="65">
        <f t="shared" si="13"/>
        <v>15073</v>
      </c>
      <c r="N19" s="65">
        <f>SUM(N8:N18)</f>
        <v>19599.449296000003</v>
      </c>
      <c r="O19" s="65">
        <f t="shared" si="13"/>
        <v>0</v>
      </c>
      <c r="P19" s="65">
        <f t="shared" si="13"/>
        <v>1250</v>
      </c>
      <c r="Q19" s="65">
        <f t="shared" si="13"/>
        <v>2600</v>
      </c>
      <c r="R19" s="65">
        <f t="shared" si="13"/>
        <v>0</v>
      </c>
      <c r="S19" s="65">
        <f t="shared" si="13"/>
        <v>0</v>
      </c>
      <c r="T19" s="65">
        <f>SUM(T8:T18)</f>
        <v>92192.400704</v>
      </c>
      <c r="U19" s="65">
        <f>SUM(U8:U18)</f>
        <v>91792.400704</v>
      </c>
    </row>
    <row r="20" spans="1:23" x14ac:dyDescent="0.25">
      <c r="A20" s="36"/>
      <c r="B20" s="63"/>
      <c r="C20" s="63"/>
      <c r="D20" s="13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3" x14ac:dyDescent="0.25">
      <c r="A21" s="198" t="s">
        <v>196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</row>
    <row r="22" spans="1:23" ht="24" x14ac:dyDescent="0.25">
      <c r="A22" s="32" t="s">
        <v>57</v>
      </c>
      <c r="B22" s="32" t="s">
        <v>13</v>
      </c>
      <c r="C22" s="32" t="s">
        <v>68</v>
      </c>
      <c r="D22" s="32" t="s">
        <v>21</v>
      </c>
      <c r="E22" s="32" t="s">
        <v>15</v>
      </c>
      <c r="F22" s="32" t="s">
        <v>14</v>
      </c>
      <c r="G22" s="32" t="s">
        <v>54</v>
      </c>
      <c r="H22" s="32" t="s">
        <v>60</v>
      </c>
      <c r="I22" s="49" t="s">
        <v>160</v>
      </c>
      <c r="J22" s="49" t="s">
        <v>161</v>
      </c>
      <c r="K22" s="49" t="s">
        <v>162</v>
      </c>
      <c r="L22" s="49" t="s">
        <v>163</v>
      </c>
      <c r="M22" s="32" t="s">
        <v>164</v>
      </c>
      <c r="N22" s="32" t="s">
        <v>55</v>
      </c>
      <c r="O22" s="32" t="s">
        <v>56</v>
      </c>
      <c r="P22" s="32" t="s">
        <v>16</v>
      </c>
      <c r="Q22" s="32" t="s">
        <v>242</v>
      </c>
      <c r="R22" s="32" t="s">
        <v>59</v>
      </c>
      <c r="S22" s="32" t="s">
        <v>66</v>
      </c>
      <c r="T22" s="32" t="s">
        <v>64</v>
      </c>
      <c r="U22" s="32" t="s">
        <v>65</v>
      </c>
    </row>
    <row r="23" spans="1:23" s="66" customFormat="1" x14ac:dyDescent="0.25">
      <c r="A23" s="33">
        <v>12</v>
      </c>
      <c r="B23" s="67" t="s">
        <v>390</v>
      </c>
      <c r="C23" s="68" t="s">
        <v>179</v>
      </c>
      <c r="D23" s="12">
        <v>15</v>
      </c>
      <c r="E23" s="69">
        <v>1787.61</v>
      </c>
      <c r="F23" s="70">
        <f t="shared" ref="F23:F27" si="14">D23*E23</f>
        <v>26814.149999999998</v>
      </c>
      <c r="G23" s="52"/>
      <c r="H23" s="52"/>
      <c r="I23" s="69">
        <f>VLOOKUP($F$23,Tabisr,1)</f>
        <v>18837.759999999998</v>
      </c>
      <c r="J23" s="70">
        <f t="shared" ref="J23:J29" si="15">+F23-I23</f>
        <v>7976.3899999999994</v>
      </c>
      <c r="K23" s="71">
        <f>VLOOKUP($F$23,Tabisr,4)</f>
        <v>0.3</v>
      </c>
      <c r="L23" s="69">
        <f>(F23-16153.01)*30%</f>
        <v>3198.3419999999992</v>
      </c>
      <c r="M23" s="69">
        <f>VLOOKUP($F$23,Tabisr,3)</f>
        <v>3534.3</v>
      </c>
      <c r="N23" s="69">
        <f>3030.6+((F23-16153.01)*30%)</f>
        <v>6228.9419999999991</v>
      </c>
      <c r="O23" s="69">
        <f>VLOOKUP($F$23,Tabsub,3)</f>
        <v>0</v>
      </c>
      <c r="P23" s="52"/>
      <c r="Q23" s="246"/>
      <c r="R23" s="52"/>
      <c r="S23" s="52"/>
      <c r="T23" s="70">
        <f>F23+G23+H23-N23+O23-P23-Q23-R23-S23</f>
        <v>20585.207999999999</v>
      </c>
      <c r="U23" s="70">
        <f t="shared" ref="U23:U29" si="16">T23-G23</f>
        <v>20585.207999999999</v>
      </c>
    </row>
    <row r="24" spans="1:23" x14ac:dyDescent="0.25">
      <c r="A24" s="33">
        <v>13</v>
      </c>
      <c r="B24" s="162" t="s">
        <v>399</v>
      </c>
      <c r="C24" s="67" t="s">
        <v>241</v>
      </c>
      <c r="D24" s="12">
        <v>15</v>
      </c>
      <c r="E24" s="69">
        <v>661.33</v>
      </c>
      <c r="F24" s="69">
        <f>D24*E24</f>
        <v>9919.9500000000007</v>
      </c>
      <c r="G24" s="69"/>
      <c r="H24" s="134"/>
      <c r="I24" s="69">
        <v>5081</v>
      </c>
      <c r="J24" s="70">
        <f t="shared" si="15"/>
        <v>4838.9500000000007</v>
      </c>
      <c r="K24" s="71">
        <v>0.21360000000000001</v>
      </c>
      <c r="L24" s="69">
        <f>(F24-5081.01)*21.36%</f>
        <v>1033.5975840000001</v>
      </c>
      <c r="M24" s="69">
        <v>538.20000000000005</v>
      </c>
      <c r="N24" s="140">
        <f>L24+M24</f>
        <v>1571.7975840000001</v>
      </c>
      <c r="O24" s="69"/>
      <c r="P24" s="69"/>
      <c r="Q24" s="247">
        <v>1400</v>
      </c>
      <c r="R24" s="69"/>
      <c r="S24" s="69"/>
      <c r="T24" s="70">
        <f>F24+G24+H24-N24+O24-P24-R24-S24</f>
        <v>8348.1524160000008</v>
      </c>
      <c r="U24" s="70">
        <f t="shared" si="16"/>
        <v>8348.1524160000008</v>
      </c>
    </row>
    <row r="25" spans="1:23" x14ac:dyDescent="0.25">
      <c r="A25" s="33">
        <v>14</v>
      </c>
      <c r="B25" s="67" t="s">
        <v>276</v>
      </c>
      <c r="C25" s="67" t="s">
        <v>192</v>
      </c>
      <c r="D25" s="12">
        <v>15</v>
      </c>
      <c r="E25" s="69">
        <v>536.54</v>
      </c>
      <c r="F25" s="69">
        <f>D25*E25</f>
        <v>8048.0999999999995</v>
      </c>
      <c r="G25" s="52"/>
      <c r="H25" s="52"/>
      <c r="I25" s="69">
        <f>VLOOKUP($F$25,Tabisr,1)</f>
        <v>5925.91</v>
      </c>
      <c r="J25" s="70">
        <f t="shared" si="15"/>
        <v>2122.1899999999996</v>
      </c>
      <c r="K25" s="71">
        <f>VLOOKUP($F$25,Tabisr,4)</f>
        <v>0.21360000000000001</v>
      </c>
      <c r="L25" s="69">
        <f>(F25-5081.01)*21.36%-153.47</f>
        <v>480.30042399999979</v>
      </c>
      <c r="M25" s="69">
        <v>538.20000000000005</v>
      </c>
      <c r="N25" s="69">
        <f>L25+M25</f>
        <v>1018.5004239999998</v>
      </c>
      <c r="O25" s="69">
        <f>VLOOKUP($F$25,Tabsub,3)</f>
        <v>0</v>
      </c>
      <c r="P25" s="52"/>
      <c r="Q25" s="247">
        <v>1000</v>
      </c>
      <c r="R25" s="52"/>
      <c r="S25" s="52"/>
      <c r="T25" s="70">
        <f>F25+G25+H25-N25+O25-P25-Q25-R25-S25</f>
        <v>6029.5995759999996</v>
      </c>
      <c r="U25" s="70">
        <f t="shared" si="16"/>
        <v>6029.5995759999996</v>
      </c>
    </row>
    <row r="26" spans="1:23" x14ac:dyDescent="0.25">
      <c r="A26" s="33">
        <v>15</v>
      </c>
      <c r="B26" s="67" t="s">
        <v>191</v>
      </c>
      <c r="C26" s="67" t="s">
        <v>193</v>
      </c>
      <c r="D26" s="12">
        <v>15</v>
      </c>
      <c r="E26" s="69">
        <v>536.54</v>
      </c>
      <c r="F26" s="69">
        <f>D26*E26</f>
        <v>8048.0999999999995</v>
      </c>
      <c r="G26" s="52"/>
      <c r="H26" s="52"/>
      <c r="I26" s="69">
        <f>VLOOKUP($F$25,Tabisr,1)</f>
        <v>5925.91</v>
      </c>
      <c r="J26" s="70">
        <f t="shared" si="15"/>
        <v>2122.1899999999996</v>
      </c>
      <c r="K26" s="71">
        <f>VLOOKUP($F$25,Tabisr,4)</f>
        <v>0.21360000000000001</v>
      </c>
      <c r="L26" s="69">
        <f>(F26-5081.01)*21.36%-155.67</f>
        <v>478.10042399999986</v>
      </c>
      <c r="M26" s="69">
        <v>538.20000000000005</v>
      </c>
      <c r="N26" s="69">
        <v>1018.5</v>
      </c>
      <c r="O26" s="69">
        <f>VLOOKUP($F$25,Tabsub,3)</f>
        <v>0</v>
      </c>
      <c r="P26" s="52"/>
      <c r="Q26" s="246"/>
      <c r="R26" s="52"/>
      <c r="S26" s="52"/>
      <c r="T26" s="70">
        <f>F26+G26+H26-N26+O26-P26-Q26-R26-S26</f>
        <v>7029.5999999999995</v>
      </c>
      <c r="U26" s="70">
        <f t="shared" si="16"/>
        <v>7029.5999999999995</v>
      </c>
    </row>
    <row r="27" spans="1:23" x14ac:dyDescent="0.25">
      <c r="A27" s="33">
        <v>16</v>
      </c>
      <c r="B27" s="67" t="s">
        <v>223</v>
      </c>
      <c r="C27" s="68" t="s">
        <v>70</v>
      </c>
      <c r="D27" s="12">
        <v>15</v>
      </c>
      <c r="E27" s="69">
        <v>263.56</v>
      </c>
      <c r="F27" s="69">
        <f t="shared" si="14"/>
        <v>3953.4</v>
      </c>
      <c r="G27" s="52">
        <v>400</v>
      </c>
      <c r="H27" s="52"/>
      <c r="I27" s="69">
        <f>VLOOKUP($F$27,Tabisr,1)</f>
        <v>2422.81</v>
      </c>
      <c r="J27" s="70">
        <f t="shared" si="15"/>
        <v>1530.5900000000001</v>
      </c>
      <c r="K27" s="71">
        <f>VLOOKUP($F$27,Tabisr,4)</f>
        <v>0.10879999999999999</v>
      </c>
      <c r="L27" s="69">
        <f>(F27-3651.01)*16%</f>
        <v>48.382399999999983</v>
      </c>
      <c r="M27" s="69">
        <v>293.25</v>
      </c>
      <c r="N27" s="69">
        <f>L27+M27</f>
        <v>341.63239999999996</v>
      </c>
      <c r="O27" s="69">
        <v>0</v>
      </c>
      <c r="P27" s="52"/>
      <c r="Q27" s="246"/>
      <c r="R27" s="52"/>
      <c r="S27" s="52"/>
      <c r="T27" s="70">
        <f>F27+G27+H27-N27+O27-P27-Q27-R27-S27</f>
        <v>4011.7675999999997</v>
      </c>
      <c r="U27" s="70">
        <f t="shared" si="16"/>
        <v>3611.7675999999997</v>
      </c>
    </row>
    <row r="28" spans="1:23" x14ac:dyDescent="0.25">
      <c r="A28" s="33">
        <v>292</v>
      </c>
      <c r="B28" s="162" t="s">
        <v>462</v>
      </c>
      <c r="C28" s="67" t="s">
        <v>479</v>
      </c>
      <c r="D28" s="12">
        <v>15</v>
      </c>
      <c r="E28" s="69">
        <v>661.33</v>
      </c>
      <c r="F28" s="69">
        <f>D28*E28</f>
        <v>9919.9500000000007</v>
      </c>
      <c r="G28" s="69"/>
      <c r="H28" s="134"/>
      <c r="I28" s="69">
        <v>5081</v>
      </c>
      <c r="J28" s="70">
        <f t="shared" ref="J28" si="17">+F28-I28</f>
        <v>4838.9500000000007</v>
      </c>
      <c r="K28" s="71">
        <v>0.21360000000000001</v>
      </c>
      <c r="L28" s="69">
        <f>(F28-5081.01)*21.36%</f>
        <v>1033.5975840000001</v>
      </c>
      <c r="M28" s="69">
        <v>538.20000000000005</v>
      </c>
      <c r="N28" s="140">
        <f>L28+M28</f>
        <v>1571.7975840000001</v>
      </c>
      <c r="O28" s="69"/>
      <c r="P28" s="69"/>
      <c r="Q28" s="246"/>
      <c r="R28" s="69"/>
      <c r="S28" s="69"/>
      <c r="T28" s="70">
        <f>F28+G28+H28-N28+O28-P28-R28-S28</f>
        <v>8348.1524160000008</v>
      </c>
      <c r="U28" s="70">
        <f t="shared" ref="U28" si="18">T28-G28</f>
        <v>8348.1524160000008</v>
      </c>
    </row>
    <row r="29" spans="1:23" s="72" customFormat="1" x14ac:dyDescent="0.25">
      <c r="A29" s="33">
        <v>46</v>
      </c>
      <c r="B29" s="67" t="s">
        <v>418</v>
      </c>
      <c r="C29" s="67" t="s">
        <v>332</v>
      </c>
      <c r="D29" s="12">
        <v>15</v>
      </c>
      <c r="E29" s="69">
        <v>661.33</v>
      </c>
      <c r="F29" s="69">
        <f>D29*E29</f>
        <v>9919.9500000000007</v>
      </c>
      <c r="G29" s="69"/>
      <c r="H29" s="134"/>
      <c r="I29" s="69">
        <v>5081</v>
      </c>
      <c r="J29" s="70">
        <f t="shared" si="15"/>
        <v>4838.9500000000007</v>
      </c>
      <c r="K29" s="71">
        <v>0.21360000000000001</v>
      </c>
      <c r="L29" s="69">
        <f>(F29-5081.01)*21.36%</f>
        <v>1033.5975840000001</v>
      </c>
      <c r="M29" s="69">
        <v>538.20000000000005</v>
      </c>
      <c r="N29" s="140">
        <f>L29+M29</f>
        <v>1571.7975840000001</v>
      </c>
      <c r="O29" s="69"/>
      <c r="P29" s="69"/>
      <c r="Q29" s="246"/>
      <c r="R29" s="69"/>
      <c r="S29" s="69"/>
      <c r="T29" s="70">
        <f>F29+G29+H29-N29+O29-P29-R29-S29</f>
        <v>8348.1524160000008</v>
      </c>
      <c r="U29" s="70">
        <f t="shared" si="16"/>
        <v>8348.1524160000008</v>
      </c>
    </row>
    <row r="30" spans="1:23" s="72" customFormat="1" x14ac:dyDescent="0.25">
      <c r="A30" s="36"/>
      <c r="B30" s="63"/>
      <c r="C30" s="73"/>
      <c r="D30" s="13"/>
      <c r="E30" s="64"/>
      <c r="F30" s="74">
        <f t="shared" ref="F30:U30" si="19">SUM(F23:F29)</f>
        <v>76623.599999999991</v>
      </c>
      <c r="G30" s="74">
        <f t="shared" si="19"/>
        <v>400</v>
      </c>
      <c r="H30" s="74">
        <f t="shared" si="19"/>
        <v>0</v>
      </c>
      <c r="I30" s="74">
        <f t="shared" si="19"/>
        <v>48355.39</v>
      </c>
      <c r="J30" s="74">
        <f t="shared" si="19"/>
        <v>28268.21</v>
      </c>
      <c r="K30" s="74">
        <f t="shared" si="19"/>
        <v>1.4768000000000001</v>
      </c>
      <c r="L30" s="74">
        <f t="shared" si="19"/>
        <v>7305.9180000000006</v>
      </c>
      <c r="M30" s="74">
        <f t="shared" si="19"/>
        <v>6518.5499999999993</v>
      </c>
      <c r="N30" s="74">
        <f t="shared" si="19"/>
        <v>13322.967575999999</v>
      </c>
      <c r="O30" s="74">
        <f t="shared" si="19"/>
        <v>0</v>
      </c>
      <c r="P30" s="74">
        <f t="shared" si="19"/>
        <v>0</v>
      </c>
      <c r="Q30" s="74">
        <f t="shared" si="19"/>
        <v>2400</v>
      </c>
      <c r="R30" s="74">
        <f t="shared" si="19"/>
        <v>0</v>
      </c>
      <c r="S30" s="74">
        <f t="shared" si="19"/>
        <v>0</v>
      </c>
      <c r="T30" s="74">
        <f t="shared" si="19"/>
        <v>62700.632423999996</v>
      </c>
      <c r="U30" s="74">
        <f t="shared" si="19"/>
        <v>62300.632423999996</v>
      </c>
    </row>
    <row r="31" spans="1:23" s="72" customFormat="1" x14ac:dyDescent="0.25">
      <c r="A31" s="36"/>
      <c r="B31" s="63"/>
      <c r="C31" s="73"/>
      <c r="D31" s="13"/>
      <c r="E31" s="6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3" s="72" customFormat="1" x14ac:dyDescent="0.25">
      <c r="A32" s="198" t="s">
        <v>197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</row>
    <row r="33" spans="1:22" s="72" customFormat="1" ht="24" x14ac:dyDescent="0.25">
      <c r="A33" s="32" t="s">
        <v>57</v>
      </c>
      <c r="B33" s="32" t="s">
        <v>13</v>
      </c>
      <c r="C33" s="32" t="s">
        <v>68</v>
      </c>
      <c r="D33" s="32" t="s">
        <v>21</v>
      </c>
      <c r="E33" s="32" t="s">
        <v>15</v>
      </c>
      <c r="F33" s="32" t="s">
        <v>14</v>
      </c>
      <c r="G33" s="32" t="s">
        <v>54</v>
      </c>
      <c r="H33" s="32" t="s">
        <v>60</v>
      </c>
      <c r="I33" s="49" t="s">
        <v>160</v>
      </c>
      <c r="J33" s="49" t="s">
        <v>161</v>
      </c>
      <c r="K33" s="49" t="s">
        <v>162</v>
      </c>
      <c r="L33" s="49" t="s">
        <v>163</v>
      </c>
      <c r="M33" s="32" t="s">
        <v>164</v>
      </c>
      <c r="N33" s="32" t="s">
        <v>55</v>
      </c>
      <c r="O33" s="32" t="s">
        <v>56</v>
      </c>
      <c r="P33" s="32" t="s">
        <v>16</v>
      </c>
      <c r="Q33" s="32" t="s">
        <v>242</v>
      </c>
      <c r="R33" s="32" t="s">
        <v>59</v>
      </c>
      <c r="S33" s="32" t="s">
        <v>66</v>
      </c>
      <c r="T33" s="32" t="s">
        <v>64</v>
      </c>
      <c r="U33" s="32" t="s">
        <v>65</v>
      </c>
    </row>
    <row r="34" spans="1:22" s="72" customFormat="1" x14ac:dyDescent="0.25">
      <c r="A34" s="33">
        <v>18</v>
      </c>
      <c r="B34" s="67" t="s">
        <v>99</v>
      </c>
      <c r="C34" s="67" t="s">
        <v>107</v>
      </c>
      <c r="D34" s="33">
        <v>15</v>
      </c>
      <c r="E34" s="33">
        <v>943.95</v>
      </c>
      <c r="F34" s="140">
        <f>E34*D34</f>
        <v>14159.25</v>
      </c>
      <c r="G34" s="33"/>
      <c r="H34" s="33"/>
      <c r="I34" s="33">
        <v>5081.01</v>
      </c>
      <c r="J34" s="141">
        <f>F34-I34</f>
        <v>9078.24</v>
      </c>
      <c r="K34" s="71">
        <v>0.21360000000000001</v>
      </c>
      <c r="L34" s="69">
        <f>(F34-10248.01)*23.52%</f>
        <v>919.92364799999996</v>
      </c>
      <c r="M34" s="69">
        <v>1641.75</v>
      </c>
      <c r="N34" s="69">
        <f>M34+L34</f>
        <v>2561.673648</v>
      </c>
      <c r="O34" s="33"/>
      <c r="P34" s="33"/>
      <c r="Q34" s="33"/>
      <c r="R34" s="33"/>
      <c r="S34" s="33"/>
      <c r="T34" s="70">
        <f t="shared" ref="T34:T40" si="20">F34+G34+H34-N34+O34-P34-Q34-R34-S34</f>
        <v>11597.576352</v>
      </c>
      <c r="U34" s="70">
        <f t="shared" ref="U34:U40" si="21">T34-G34</f>
        <v>11597.576352</v>
      </c>
    </row>
    <row r="35" spans="1:22" s="66" customFormat="1" x14ac:dyDescent="0.25">
      <c r="A35" s="33">
        <v>10</v>
      </c>
      <c r="B35" s="50" t="s">
        <v>102</v>
      </c>
      <c r="C35" s="50" t="s">
        <v>391</v>
      </c>
      <c r="D35" s="33">
        <v>15</v>
      </c>
      <c r="E35" s="69">
        <v>661.33</v>
      </c>
      <c r="F35" s="69">
        <f>D35*E35</f>
        <v>9919.9500000000007</v>
      </c>
      <c r="G35" s="69"/>
      <c r="H35" s="134"/>
      <c r="I35" s="69">
        <v>5081</v>
      </c>
      <c r="J35" s="70">
        <f t="shared" ref="J35" si="22">+F35-I35</f>
        <v>4838.9500000000007</v>
      </c>
      <c r="K35" s="71">
        <v>0.21360000000000001</v>
      </c>
      <c r="L35" s="69">
        <f>(F35-5081.01)*21.36%</f>
        <v>1033.5975840000001</v>
      </c>
      <c r="M35" s="69">
        <v>538.20000000000005</v>
      </c>
      <c r="N35" s="140">
        <f>L35+M35</f>
        <v>1571.7975840000001</v>
      </c>
      <c r="O35" s="69"/>
      <c r="P35" s="69"/>
      <c r="Q35" s="246"/>
      <c r="R35" s="69"/>
      <c r="S35" s="69"/>
      <c r="T35" s="70">
        <f>F35+G35+H35-N35+O35-P35-R35-S35</f>
        <v>8348.1524160000008</v>
      </c>
      <c r="U35" s="70">
        <f t="shared" si="21"/>
        <v>8348.1524160000008</v>
      </c>
    </row>
    <row r="36" spans="1:22" s="72" customFormat="1" x14ac:dyDescent="0.25">
      <c r="A36" s="37">
        <v>19</v>
      </c>
      <c r="B36" s="137" t="s">
        <v>349</v>
      </c>
      <c r="C36" s="51" t="s">
        <v>82</v>
      </c>
      <c r="D36" s="33">
        <v>15</v>
      </c>
      <c r="E36" s="69">
        <v>312.25</v>
      </c>
      <c r="F36" s="133">
        <f t="shared" ref="F36:F40" si="23">D36*E36</f>
        <v>4683.75</v>
      </c>
      <c r="G36" s="52">
        <v>400</v>
      </c>
      <c r="H36" s="52"/>
      <c r="I36" s="69">
        <f>VLOOKUP($F$48,Tabisr,1)</f>
        <v>2422.81</v>
      </c>
      <c r="J36" s="70">
        <f>+F36-I36</f>
        <v>2260.94</v>
      </c>
      <c r="K36" s="71">
        <f>VLOOKUP($F$48,Tabisr,4)</f>
        <v>0.10879999999999999</v>
      </c>
      <c r="L36" s="69">
        <f>(F36-3651.01)*16%</f>
        <v>165.23839999999996</v>
      </c>
      <c r="M36" s="69">
        <v>293.25</v>
      </c>
      <c r="N36" s="69">
        <v>466.85</v>
      </c>
      <c r="O36" s="69"/>
      <c r="P36" s="52"/>
      <c r="Q36" s="247">
        <v>1600</v>
      </c>
      <c r="R36" s="52"/>
      <c r="S36" s="52"/>
      <c r="T36" s="70">
        <f t="shared" si="20"/>
        <v>3016.8999999999996</v>
      </c>
      <c r="U36" s="70">
        <f t="shared" si="21"/>
        <v>2616.8999999999996</v>
      </c>
    </row>
    <row r="37" spans="1:22" s="72" customFormat="1" x14ac:dyDescent="0.25">
      <c r="A37" s="33">
        <v>20</v>
      </c>
      <c r="B37" s="67" t="s">
        <v>277</v>
      </c>
      <c r="C37" s="68" t="s">
        <v>330</v>
      </c>
      <c r="D37" s="33">
        <v>15</v>
      </c>
      <c r="E37" s="69">
        <v>312.25</v>
      </c>
      <c r="F37" s="133">
        <f t="shared" si="23"/>
        <v>4683.75</v>
      </c>
      <c r="G37" s="52">
        <v>400</v>
      </c>
      <c r="H37" s="52"/>
      <c r="I37" s="69">
        <f>VLOOKUP($F$48,Tabisr,1)</f>
        <v>2422.81</v>
      </c>
      <c r="J37" s="70">
        <f>+F37-I37</f>
        <v>2260.94</v>
      </c>
      <c r="K37" s="71">
        <f>VLOOKUP($F$48,Tabisr,4)</f>
        <v>0.10879999999999999</v>
      </c>
      <c r="L37" s="69">
        <f>(F37-3651.01)*16%</f>
        <v>165.23839999999996</v>
      </c>
      <c r="M37" s="69">
        <v>293.25</v>
      </c>
      <c r="N37" s="69">
        <v>466.85</v>
      </c>
      <c r="O37" s="69"/>
      <c r="P37" s="52"/>
      <c r="Q37" s="247">
        <v>2200</v>
      </c>
      <c r="R37" s="52"/>
      <c r="S37" s="52"/>
      <c r="T37" s="70">
        <f t="shared" si="20"/>
        <v>2416.8999999999996</v>
      </c>
      <c r="U37" s="70">
        <f t="shared" si="21"/>
        <v>2016.8999999999996</v>
      </c>
    </row>
    <row r="38" spans="1:22" s="72" customFormat="1" x14ac:dyDescent="0.25">
      <c r="A38" s="33">
        <v>21</v>
      </c>
      <c r="B38" s="67" t="s">
        <v>373</v>
      </c>
      <c r="C38" s="67" t="s">
        <v>329</v>
      </c>
      <c r="D38" s="33">
        <v>15</v>
      </c>
      <c r="E38" s="69">
        <v>263.55</v>
      </c>
      <c r="F38" s="133">
        <f t="shared" si="23"/>
        <v>3953.25</v>
      </c>
      <c r="G38" s="52">
        <v>400</v>
      </c>
      <c r="H38" s="52"/>
      <c r="I38" s="69">
        <f>VLOOKUP($F$48,Tabisr,1)</f>
        <v>2422.81</v>
      </c>
      <c r="J38" s="70">
        <f>+F38-I38</f>
        <v>1530.44</v>
      </c>
      <c r="K38" s="71">
        <f>VLOOKUP($F$48,Tabisr,4)</f>
        <v>0.10879999999999999</v>
      </c>
      <c r="L38" s="69">
        <f>(F38-3651.01)*16%</f>
        <v>48.358399999999968</v>
      </c>
      <c r="M38" s="69">
        <v>293.25</v>
      </c>
      <c r="N38" s="69">
        <f>M38+L38</f>
        <v>341.60839999999996</v>
      </c>
      <c r="O38" s="69"/>
      <c r="P38" s="52"/>
      <c r="Q38" s="246"/>
      <c r="R38" s="52"/>
      <c r="S38" s="52"/>
      <c r="T38" s="70">
        <f t="shared" si="20"/>
        <v>4011.6415999999999</v>
      </c>
      <c r="U38" s="70">
        <f t="shared" si="21"/>
        <v>3611.6415999999999</v>
      </c>
    </row>
    <row r="39" spans="1:22" s="75" customFormat="1" x14ac:dyDescent="0.25">
      <c r="A39" s="33">
        <v>22</v>
      </c>
      <c r="B39" s="67" t="s">
        <v>273</v>
      </c>
      <c r="C39" s="68" t="s">
        <v>70</v>
      </c>
      <c r="D39" s="33">
        <v>15</v>
      </c>
      <c r="E39" s="69">
        <v>263.56</v>
      </c>
      <c r="F39" s="69">
        <f t="shared" si="23"/>
        <v>3953.4</v>
      </c>
      <c r="G39" s="69">
        <v>400</v>
      </c>
      <c r="H39" s="69"/>
      <c r="I39" s="69">
        <v>4244.01</v>
      </c>
      <c r="J39" s="70">
        <f>+F39-I39</f>
        <v>-290.61000000000013</v>
      </c>
      <c r="K39" s="71">
        <v>0.1792</v>
      </c>
      <c r="L39" s="69">
        <f>(F39-3651.01)*16%</f>
        <v>48.382399999999983</v>
      </c>
      <c r="M39" s="69">
        <v>293.25</v>
      </c>
      <c r="N39" s="69">
        <f>M39+L39</f>
        <v>341.63239999999996</v>
      </c>
      <c r="O39" s="69"/>
      <c r="P39" s="69"/>
      <c r="Q39" s="69"/>
      <c r="R39" s="69"/>
      <c r="S39" s="69"/>
      <c r="T39" s="70">
        <f>F39+G39+H39-N39+O39-P39-Q39-R39-S39</f>
        <v>4011.7675999999997</v>
      </c>
      <c r="U39" s="70">
        <f>T39-G39</f>
        <v>3611.7675999999997</v>
      </c>
    </row>
    <row r="40" spans="1:22" s="75" customFormat="1" x14ac:dyDescent="0.25">
      <c r="A40" s="33">
        <v>23</v>
      </c>
      <c r="B40" s="67" t="s">
        <v>122</v>
      </c>
      <c r="C40" s="68" t="s">
        <v>283</v>
      </c>
      <c r="D40" s="33">
        <v>15</v>
      </c>
      <c r="E40" s="69">
        <v>312.25</v>
      </c>
      <c r="F40" s="133">
        <f t="shared" si="23"/>
        <v>4683.75</v>
      </c>
      <c r="G40" s="52">
        <v>400</v>
      </c>
      <c r="H40" s="52"/>
      <c r="I40" s="69">
        <f>VLOOKUP($F$48,Tabisr,1)</f>
        <v>2422.81</v>
      </c>
      <c r="J40" s="70">
        <f>+F40-I40</f>
        <v>2260.94</v>
      </c>
      <c r="K40" s="71">
        <f>VLOOKUP($F$48,Tabisr,4)</f>
        <v>0.10879999999999999</v>
      </c>
      <c r="L40" s="69">
        <f>(F40-3651.01)*16%</f>
        <v>165.23839999999996</v>
      </c>
      <c r="M40" s="69">
        <v>293.25</v>
      </c>
      <c r="N40" s="69">
        <v>466.85</v>
      </c>
      <c r="O40" s="69"/>
      <c r="P40" s="52"/>
      <c r="Q40" s="52"/>
      <c r="R40" s="52"/>
      <c r="S40" s="52"/>
      <c r="T40" s="70">
        <f t="shared" si="20"/>
        <v>4616.8999999999996</v>
      </c>
      <c r="U40" s="70">
        <f t="shared" si="21"/>
        <v>4216.8999999999996</v>
      </c>
    </row>
    <row r="41" spans="1:22" s="72" customFormat="1" x14ac:dyDescent="0.25">
      <c r="A41" s="36"/>
      <c r="B41" s="63"/>
      <c r="C41" s="73"/>
      <c r="D41" s="13"/>
      <c r="E41" s="64"/>
      <c r="F41" s="76">
        <f>SUM(F34:F40)</f>
        <v>46037.1</v>
      </c>
      <c r="G41" s="74">
        <f>SUM(G34:G40)</f>
        <v>2000</v>
      </c>
      <c r="H41" s="74">
        <f t="shared" ref="H41:M41" si="24">SUM(H34:H40)</f>
        <v>0</v>
      </c>
      <c r="I41" s="74">
        <f t="shared" si="24"/>
        <v>24097.26</v>
      </c>
      <c r="J41" s="74">
        <f t="shared" si="24"/>
        <v>21939.839999999997</v>
      </c>
      <c r="K41" s="74">
        <f t="shared" si="24"/>
        <v>1.0416000000000001</v>
      </c>
      <c r="L41" s="74">
        <f t="shared" si="24"/>
        <v>2545.9772320000002</v>
      </c>
      <c r="M41" s="74">
        <f t="shared" si="24"/>
        <v>3646.2</v>
      </c>
      <c r="N41" s="74">
        <f>SUM(N34:N40)</f>
        <v>6217.2620320000005</v>
      </c>
      <c r="O41" s="74">
        <f t="shared" ref="O41:R41" si="25">SUM(O34:O40)</f>
        <v>0</v>
      </c>
      <c r="P41" s="74">
        <f>SUM(P34:P40)</f>
        <v>0</v>
      </c>
      <c r="Q41" s="74">
        <f>SUM(Q34:Q40)</f>
        <v>3800</v>
      </c>
      <c r="R41" s="74">
        <f t="shared" si="25"/>
        <v>0</v>
      </c>
      <c r="S41" s="74">
        <f>SUM(S34:S40)</f>
        <v>0</v>
      </c>
      <c r="T41" s="74">
        <f>SUM(T34:T40)</f>
        <v>38019.837968000007</v>
      </c>
      <c r="U41" s="74">
        <f>SUM(U34:U40)</f>
        <v>36019.837968</v>
      </c>
    </row>
    <row r="42" spans="1:22" s="72" customFormat="1" x14ac:dyDescent="0.25">
      <c r="A42" s="36"/>
      <c r="B42" s="63"/>
      <c r="C42" s="73"/>
      <c r="D42" s="13"/>
      <c r="E42" s="6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1:22" s="72" customFormat="1" x14ac:dyDescent="0.25">
      <c r="A43" s="192" t="s">
        <v>198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4"/>
    </row>
    <row r="44" spans="1:22" s="72" customFormat="1" ht="24" x14ac:dyDescent="0.25">
      <c r="A44" s="32" t="s">
        <v>57</v>
      </c>
      <c r="B44" s="32" t="s">
        <v>13</v>
      </c>
      <c r="C44" s="32" t="s">
        <v>68</v>
      </c>
      <c r="D44" s="32" t="s">
        <v>21</v>
      </c>
      <c r="E44" s="32" t="s">
        <v>15</v>
      </c>
      <c r="F44" s="32" t="s">
        <v>14</v>
      </c>
      <c r="G44" s="32" t="s">
        <v>54</v>
      </c>
      <c r="H44" s="32" t="s">
        <v>60</v>
      </c>
      <c r="I44" s="49" t="s">
        <v>160</v>
      </c>
      <c r="J44" s="49" t="s">
        <v>161</v>
      </c>
      <c r="K44" s="49" t="s">
        <v>162</v>
      </c>
      <c r="L44" s="49" t="s">
        <v>163</v>
      </c>
      <c r="M44" s="32" t="s">
        <v>164</v>
      </c>
      <c r="N44" s="32" t="s">
        <v>55</v>
      </c>
      <c r="O44" s="32" t="s">
        <v>56</v>
      </c>
      <c r="P44" s="32" t="s">
        <v>16</v>
      </c>
      <c r="Q44" s="32" t="s">
        <v>242</v>
      </c>
      <c r="R44" s="32" t="s">
        <v>59</v>
      </c>
      <c r="S44" s="32" t="s">
        <v>66</v>
      </c>
      <c r="T44" s="32" t="s">
        <v>64</v>
      </c>
      <c r="U44" s="32" t="s">
        <v>65</v>
      </c>
    </row>
    <row r="45" spans="1:22" s="72" customFormat="1" x14ac:dyDescent="0.25">
      <c r="A45" s="33">
        <v>21</v>
      </c>
      <c r="B45" s="67" t="s">
        <v>378</v>
      </c>
      <c r="C45" s="68" t="s">
        <v>74</v>
      </c>
      <c r="D45" s="12">
        <v>15</v>
      </c>
      <c r="E45" s="69">
        <v>943.95</v>
      </c>
      <c r="F45" s="69">
        <f>D45*E45</f>
        <v>14159.25</v>
      </c>
      <c r="G45" s="69"/>
      <c r="H45" s="134"/>
      <c r="I45" s="69">
        <v>5081.01</v>
      </c>
      <c r="J45" s="70">
        <f>F45-I45</f>
        <v>9078.24</v>
      </c>
      <c r="K45" s="71">
        <v>0.21360000000000001</v>
      </c>
      <c r="L45" s="69">
        <f>(F45-10248.01)*23.52%</f>
        <v>919.92364799999996</v>
      </c>
      <c r="M45" s="69">
        <v>1641.75</v>
      </c>
      <c r="N45" s="69">
        <f>M45+L45</f>
        <v>2561.673648</v>
      </c>
      <c r="O45" s="69">
        <f>VLOOKUP($F$172,Tabsub,3)</f>
        <v>0</v>
      </c>
      <c r="P45" s="33"/>
      <c r="Q45" s="33"/>
      <c r="R45" s="69"/>
      <c r="S45" s="69"/>
      <c r="T45" s="70">
        <f>F45+G45+H45-N45+O45-P45-Q45-R45-S45</f>
        <v>11597.576352</v>
      </c>
      <c r="U45" s="70">
        <f>T45-G45</f>
        <v>11597.576352</v>
      </c>
    </row>
    <row r="46" spans="1:22" s="72" customFormat="1" x14ac:dyDescent="0.25">
      <c r="A46" s="33">
        <v>25</v>
      </c>
      <c r="B46" s="50" t="s">
        <v>476</v>
      </c>
      <c r="C46" s="68" t="s">
        <v>259</v>
      </c>
      <c r="D46" s="12">
        <v>15</v>
      </c>
      <c r="E46" s="69">
        <v>661.33</v>
      </c>
      <c r="F46" s="69">
        <f>D46*E46</f>
        <v>9919.9500000000007</v>
      </c>
      <c r="G46" s="69"/>
      <c r="H46" s="134"/>
      <c r="I46" s="69">
        <v>5081</v>
      </c>
      <c r="J46" s="70">
        <f>+F46-I46</f>
        <v>4838.9500000000007</v>
      </c>
      <c r="K46" s="71">
        <v>0.21360000000000001</v>
      </c>
      <c r="L46" s="69">
        <f>(F46-5081.01)*21.36%</f>
        <v>1033.5975840000001</v>
      </c>
      <c r="M46" s="69">
        <v>538.20000000000005</v>
      </c>
      <c r="N46" s="142">
        <f>L46+M46</f>
        <v>1571.7975840000001</v>
      </c>
      <c r="O46" s="69"/>
      <c r="P46" s="69"/>
      <c r="Q46" s="69"/>
      <c r="R46" s="69"/>
      <c r="S46" s="69"/>
      <c r="T46" s="70">
        <f>F46+G46+H46-N46+O46-P46-R46-S46</f>
        <v>8348.1524160000008</v>
      </c>
      <c r="U46" s="70">
        <f>T46-G46</f>
        <v>8348.1524160000008</v>
      </c>
      <c r="V46" s="77"/>
    </row>
    <row r="47" spans="1:22" s="72" customFormat="1" x14ac:dyDescent="0.25">
      <c r="A47" s="33">
        <v>26</v>
      </c>
      <c r="B47" s="50" t="s">
        <v>117</v>
      </c>
      <c r="C47" s="50" t="s">
        <v>392</v>
      </c>
      <c r="D47" s="12">
        <v>15</v>
      </c>
      <c r="E47" s="69">
        <v>661.33</v>
      </c>
      <c r="F47" s="69">
        <f>D47*E47</f>
        <v>9919.9500000000007</v>
      </c>
      <c r="G47" s="69"/>
      <c r="H47" s="134"/>
      <c r="I47" s="69">
        <v>5081</v>
      </c>
      <c r="J47" s="70">
        <f>+F47-I47</f>
        <v>4838.9500000000007</v>
      </c>
      <c r="K47" s="71">
        <v>0.21360000000000001</v>
      </c>
      <c r="L47" s="69">
        <f>(F47-5081.01)*21.36%</f>
        <v>1033.5975840000001</v>
      </c>
      <c r="M47" s="69">
        <v>538.20000000000005</v>
      </c>
      <c r="N47" s="142">
        <f>L47+M47</f>
        <v>1571.7975840000001</v>
      </c>
      <c r="O47" s="69"/>
      <c r="P47" s="69"/>
      <c r="Q47" s="69"/>
      <c r="R47" s="69"/>
      <c r="S47" s="69"/>
      <c r="T47" s="70">
        <f>F47+G47+H47-N47+O47-P47-R47-S47</f>
        <v>8348.1524160000008</v>
      </c>
      <c r="U47" s="70">
        <f>T47-G47</f>
        <v>8348.1524160000008</v>
      </c>
    </row>
    <row r="48" spans="1:22" s="72" customFormat="1" x14ac:dyDescent="0.25">
      <c r="A48" s="33">
        <v>28</v>
      </c>
      <c r="B48" s="67" t="s">
        <v>224</v>
      </c>
      <c r="C48" s="68" t="s">
        <v>70</v>
      </c>
      <c r="D48" s="12">
        <v>15</v>
      </c>
      <c r="E48" s="69">
        <v>263.56</v>
      </c>
      <c r="F48" s="69">
        <f>D48*E48</f>
        <v>3953.4</v>
      </c>
      <c r="G48" s="52">
        <v>400</v>
      </c>
      <c r="H48" s="52"/>
      <c r="I48" s="69">
        <v>3651.01</v>
      </c>
      <c r="J48" s="70">
        <f>+F48-I48</f>
        <v>302.38999999999987</v>
      </c>
      <c r="K48" s="71">
        <v>0.16</v>
      </c>
      <c r="L48" s="69">
        <f>(F48-3651.01)*16%</f>
        <v>48.382399999999983</v>
      </c>
      <c r="M48" s="69">
        <v>293.25</v>
      </c>
      <c r="N48" s="69">
        <f>M48+L48</f>
        <v>341.63239999999996</v>
      </c>
      <c r="O48" s="69"/>
      <c r="P48" s="69"/>
      <c r="Q48" s="69"/>
      <c r="R48" s="69"/>
      <c r="S48" s="69"/>
      <c r="T48" s="70">
        <f>F48+G48+H48-N48+O48-P48-Q48-R48-S48</f>
        <v>4011.7675999999997</v>
      </c>
      <c r="U48" s="70">
        <f>T48-G48</f>
        <v>3611.7675999999997</v>
      </c>
    </row>
    <row r="49" spans="1:21" s="72" customFormat="1" x14ac:dyDescent="0.25">
      <c r="A49" s="36"/>
      <c r="B49" s="80"/>
      <c r="C49" s="81"/>
      <c r="D49" s="82"/>
      <c r="E49" s="82"/>
      <c r="F49" s="83">
        <f>SUM(F45:F48)</f>
        <v>37952.550000000003</v>
      </c>
      <c r="G49" s="83">
        <f>SUM(G45:G48)</f>
        <v>400</v>
      </c>
      <c r="H49" s="83">
        <f>SUM(H45:H48)</f>
        <v>0</v>
      </c>
      <c r="I49" s="83">
        <f ca="1">SUM(I45:I81)</f>
        <v>19487.02</v>
      </c>
      <c r="J49" s="83">
        <f ca="1">SUM(J45:J81)</f>
        <v>14768.029999999999</v>
      </c>
      <c r="K49" s="83">
        <f ca="1">SUM(K45:K81)</f>
        <v>0.82000000000000006</v>
      </c>
      <c r="L49" s="83">
        <f ca="1">SUM(L45:L81)</f>
        <v>2245.7152160000001</v>
      </c>
      <c r="M49" s="83">
        <f ca="1">SUM(M45:M81)</f>
        <v>3011.3999999999996</v>
      </c>
      <c r="N49" s="83">
        <f>SUM(N45:N48)</f>
        <v>6046.9012160000002</v>
      </c>
      <c r="O49" s="83">
        <f t="shared" ref="O49:S49" si="26">SUM(O45:O48)</f>
        <v>0</v>
      </c>
      <c r="P49" s="83">
        <f t="shared" si="26"/>
        <v>0</v>
      </c>
      <c r="Q49" s="83">
        <f t="shared" si="26"/>
        <v>0</v>
      </c>
      <c r="R49" s="83">
        <f t="shared" si="26"/>
        <v>0</v>
      </c>
      <c r="S49" s="83">
        <f t="shared" si="26"/>
        <v>0</v>
      </c>
      <c r="T49" s="83">
        <f>SUM(T45:T48)</f>
        <v>32305.648784000001</v>
      </c>
      <c r="U49" s="83">
        <f>SUM(U45:U48)</f>
        <v>31905.648784000001</v>
      </c>
    </row>
    <row r="50" spans="1:21" s="72" customFormat="1" ht="11.45" customHeight="1" x14ac:dyDescent="0.25">
      <c r="A50" s="36"/>
      <c r="B50" s="80"/>
      <c r="C50" s="81"/>
      <c r="D50" s="82"/>
      <c r="E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</row>
    <row r="51" spans="1:21" s="72" customFormat="1" x14ac:dyDescent="0.25">
      <c r="A51" s="198" t="s">
        <v>199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</row>
    <row r="52" spans="1:21" s="72" customFormat="1" ht="24" x14ac:dyDescent="0.25">
      <c r="A52" s="32" t="s">
        <v>57</v>
      </c>
      <c r="B52" s="32" t="s">
        <v>13</v>
      </c>
      <c r="C52" s="32" t="s">
        <v>68</v>
      </c>
      <c r="D52" s="32" t="s">
        <v>21</v>
      </c>
      <c r="E52" s="32" t="s">
        <v>15</v>
      </c>
      <c r="F52" s="32" t="s">
        <v>14</v>
      </c>
      <c r="G52" s="32" t="s">
        <v>54</v>
      </c>
      <c r="H52" s="32" t="s">
        <v>60</v>
      </c>
      <c r="I52" s="49" t="s">
        <v>160</v>
      </c>
      <c r="J52" s="49" t="s">
        <v>161</v>
      </c>
      <c r="K52" s="49" t="s">
        <v>162</v>
      </c>
      <c r="L52" s="49" t="s">
        <v>163</v>
      </c>
      <c r="M52" s="32" t="s">
        <v>164</v>
      </c>
      <c r="N52" s="32" t="s">
        <v>55</v>
      </c>
      <c r="O52" s="32" t="s">
        <v>56</v>
      </c>
      <c r="P52" s="32" t="s">
        <v>16</v>
      </c>
      <c r="Q52" s="32" t="s">
        <v>242</v>
      </c>
      <c r="R52" s="32" t="s">
        <v>59</v>
      </c>
      <c r="S52" s="32" t="s">
        <v>66</v>
      </c>
      <c r="T52" s="32" t="s">
        <v>64</v>
      </c>
      <c r="U52" s="32" t="s">
        <v>65</v>
      </c>
    </row>
    <row r="53" spans="1:21" s="72" customFormat="1" x14ac:dyDescent="0.25">
      <c r="A53" s="33">
        <v>29</v>
      </c>
      <c r="B53" s="78" t="s">
        <v>257</v>
      </c>
      <c r="C53" s="68" t="s">
        <v>125</v>
      </c>
      <c r="D53" s="12">
        <v>15</v>
      </c>
      <c r="E53" s="69">
        <v>745.53</v>
      </c>
      <c r="F53" s="69">
        <f>D53*E53</f>
        <v>11182.949999999999</v>
      </c>
      <c r="G53" s="52"/>
      <c r="H53" s="52"/>
      <c r="I53" s="69">
        <f>VLOOKUP($F$8,Tabisr,1)</f>
        <v>11951.86</v>
      </c>
      <c r="J53" s="70">
        <f>+F53-I53</f>
        <v>-768.91000000000167</v>
      </c>
      <c r="K53" s="71">
        <f>VLOOKUP($F$8,Tabisr,4)</f>
        <v>0.23519999999999999</v>
      </c>
      <c r="L53" s="69">
        <f>(F53-10248.01)*23.52%</f>
        <v>219.89788799999968</v>
      </c>
      <c r="M53" s="69">
        <v>1641.75</v>
      </c>
      <c r="N53" s="69">
        <f>M53+L53</f>
        <v>1861.6478879999997</v>
      </c>
      <c r="O53" s="69"/>
      <c r="P53" s="52"/>
      <c r="Q53" s="52"/>
      <c r="R53" s="52"/>
      <c r="S53" s="52"/>
      <c r="T53" s="70">
        <f>F53+G53+H53-N53+O53-P53-Q53-R53-S53</f>
        <v>9321.3021119999994</v>
      </c>
      <c r="U53" s="70">
        <f>T53-G53</f>
        <v>9321.3021119999994</v>
      </c>
    </row>
    <row r="54" spans="1:21" s="72" customFormat="1" x14ac:dyDescent="0.25">
      <c r="A54" s="33">
        <v>250</v>
      </c>
      <c r="B54" s="78" t="s">
        <v>351</v>
      </c>
      <c r="C54" s="67" t="s">
        <v>82</v>
      </c>
      <c r="D54" s="12">
        <v>15</v>
      </c>
      <c r="E54" s="69">
        <v>312.26</v>
      </c>
      <c r="F54" s="69">
        <f t="shared" ref="F54" si="27">D54*E54</f>
        <v>4683.8999999999996</v>
      </c>
      <c r="G54" s="69">
        <v>400</v>
      </c>
      <c r="H54" s="33"/>
      <c r="I54" s="69">
        <f>VLOOKUP($F$71,Tabisr,1)</f>
        <v>5925.91</v>
      </c>
      <c r="J54" s="70">
        <f>+F54-I54</f>
        <v>-1242.0100000000002</v>
      </c>
      <c r="K54" s="71">
        <f>VLOOKUP($F$71,Tabisr,4)</f>
        <v>0.21360000000000001</v>
      </c>
      <c r="L54" s="69">
        <f>(F54-4244.01)*17.92%</f>
        <v>78.828287999999901</v>
      </c>
      <c r="M54" s="69">
        <v>388.05</v>
      </c>
      <c r="N54" s="69">
        <f>M54+L54</f>
        <v>466.87828799999988</v>
      </c>
      <c r="O54" s="69">
        <f>VLOOKUP($F$71,Tabsub,3)</f>
        <v>0</v>
      </c>
      <c r="P54" s="69"/>
      <c r="Q54" s="247">
        <v>1100</v>
      </c>
      <c r="R54" s="69"/>
      <c r="S54" s="69"/>
      <c r="T54" s="70">
        <f>F54+G54+H54-N54+O54-P54-Q54-R54-S54</f>
        <v>3517.0217119999998</v>
      </c>
      <c r="U54" s="70">
        <f>T54-G54</f>
        <v>3117.0217119999998</v>
      </c>
    </row>
    <row r="55" spans="1:21" s="72" customFormat="1" x14ac:dyDescent="0.25">
      <c r="A55" s="33">
        <v>31</v>
      </c>
      <c r="B55" s="146" t="s">
        <v>464</v>
      </c>
      <c r="C55" s="67" t="s">
        <v>467</v>
      </c>
      <c r="D55" s="12">
        <v>15</v>
      </c>
      <c r="E55" s="69">
        <v>312.26</v>
      </c>
      <c r="F55" s="69">
        <f t="shared" ref="F55" si="28">D55*E55</f>
        <v>4683.8999999999996</v>
      </c>
      <c r="G55" s="69">
        <v>400</v>
      </c>
      <c r="H55" s="33"/>
      <c r="I55" s="69">
        <f>VLOOKUP($F$71,Tabisr,1)</f>
        <v>5925.91</v>
      </c>
      <c r="J55" s="70">
        <f>+F55-I55</f>
        <v>-1242.0100000000002</v>
      </c>
      <c r="K55" s="71">
        <f>VLOOKUP($F$71,Tabisr,4)</f>
        <v>0.21360000000000001</v>
      </c>
      <c r="L55" s="69">
        <f>(F55-4244.01)*17.92%</f>
        <v>78.828287999999901</v>
      </c>
      <c r="M55" s="69">
        <v>388.05</v>
      </c>
      <c r="N55" s="69">
        <f>M55+L55</f>
        <v>466.87828799999988</v>
      </c>
      <c r="O55" s="69">
        <f>VLOOKUP($F$71,Tabsub,3)</f>
        <v>0</v>
      </c>
      <c r="P55" s="69"/>
      <c r="Q55" s="69"/>
      <c r="R55" s="69"/>
      <c r="S55" s="69"/>
      <c r="T55" s="70">
        <f>F55+G55+H55-N55+O55-P55-Q55-R55-S55</f>
        <v>4617.0217119999998</v>
      </c>
      <c r="U55" s="70">
        <f>T55-G55</f>
        <v>4217.0217119999998</v>
      </c>
    </row>
    <row r="56" spans="1:21" s="72" customFormat="1" x14ac:dyDescent="0.25">
      <c r="A56" s="36"/>
      <c r="B56" s="63"/>
      <c r="C56" s="73"/>
      <c r="D56" s="13"/>
      <c r="E56" s="64"/>
      <c r="F56" s="74">
        <f>SUM(F53:F55)</f>
        <v>20550.75</v>
      </c>
      <c r="G56" s="74">
        <f>SUM(G53:G55)</f>
        <v>800</v>
      </c>
      <c r="H56" s="74">
        <f t="shared" ref="H56:S56" si="29">SUM(H53:H55)</f>
        <v>0</v>
      </c>
      <c r="I56" s="74">
        <f t="shared" si="29"/>
        <v>23803.68</v>
      </c>
      <c r="J56" s="74">
        <f t="shared" si="29"/>
        <v>-3252.9300000000021</v>
      </c>
      <c r="K56" s="74">
        <f t="shared" si="29"/>
        <v>0.66239999999999999</v>
      </c>
      <c r="L56" s="74">
        <f t="shared" si="29"/>
        <v>377.55446399999948</v>
      </c>
      <c r="M56" s="74">
        <f t="shared" si="29"/>
        <v>2417.85</v>
      </c>
      <c r="N56" s="74">
        <f t="shared" si="29"/>
        <v>2795.4044639999993</v>
      </c>
      <c r="O56" s="74">
        <f t="shared" si="29"/>
        <v>0</v>
      </c>
      <c r="P56" s="74">
        <f t="shared" si="29"/>
        <v>0</v>
      </c>
      <c r="Q56" s="74">
        <f t="shared" si="29"/>
        <v>1100</v>
      </c>
      <c r="R56" s="74">
        <f t="shared" si="29"/>
        <v>0</v>
      </c>
      <c r="S56" s="74">
        <f t="shared" si="29"/>
        <v>0</v>
      </c>
      <c r="T56" s="74">
        <f>SUM(T53:T55)</f>
        <v>17455.345536000001</v>
      </c>
      <c r="U56" s="74">
        <f t="shared" ref="U56" si="30">SUM(U53:U55)</f>
        <v>16655.345536000001</v>
      </c>
    </row>
    <row r="57" spans="1:21" s="72" customFormat="1" ht="24" customHeight="1" x14ac:dyDescent="0.25">
      <c r="A57" s="36"/>
      <c r="B57" s="80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s="72" customFormat="1" x14ac:dyDescent="0.25">
      <c r="A58" s="192" t="s">
        <v>200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4"/>
    </row>
    <row r="59" spans="1:21" s="72" customFormat="1" ht="24" x14ac:dyDescent="0.25">
      <c r="A59" s="32" t="s">
        <v>57</v>
      </c>
      <c r="B59" s="32" t="s">
        <v>13</v>
      </c>
      <c r="C59" s="32" t="s">
        <v>68</v>
      </c>
      <c r="D59" s="32" t="s">
        <v>21</v>
      </c>
      <c r="E59" s="32" t="s">
        <v>15</v>
      </c>
      <c r="F59" s="32" t="s">
        <v>14</v>
      </c>
      <c r="G59" s="32" t="s">
        <v>54</v>
      </c>
      <c r="H59" s="32" t="s">
        <v>60</v>
      </c>
      <c r="I59" s="49" t="s">
        <v>160</v>
      </c>
      <c r="J59" s="49" t="s">
        <v>161</v>
      </c>
      <c r="K59" s="49" t="s">
        <v>162</v>
      </c>
      <c r="L59" s="49" t="s">
        <v>163</v>
      </c>
      <c r="M59" s="32" t="s">
        <v>164</v>
      </c>
      <c r="N59" s="32" t="s">
        <v>55</v>
      </c>
      <c r="O59" s="32" t="s">
        <v>56</v>
      </c>
      <c r="P59" s="32" t="s">
        <v>16</v>
      </c>
      <c r="Q59" s="32" t="s">
        <v>242</v>
      </c>
      <c r="R59" s="32" t="s">
        <v>59</v>
      </c>
      <c r="S59" s="32" t="s">
        <v>66</v>
      </c>
      <c r="T59" s="32" t="s">
        <v>64</v>
      </c>
      <c r="U59" s="32" t="s">
        <v>65</v>
      </c>
    </row>
    <row r="60" spans="1:21" s="75" customFormat="1" ht="23.45" customHeight="1" x14ac:dyDescent="0.25">
      <c r="A60" s="33">
        <v>32</v>
      </c>
      <c r="B60" s="67" t="s">
        <v>421</v>
      </c>
      <c r="C60" s="67" t="s">
        <v>133</v>
      </c>
      <c r="D60" s="12">
        <v>15</v>
      </c>
      <c r="E60" s="33">
        <v>943.95</v>
      </c>
      <c r="F60" s="140">
        <f>E60*D60</f>
        <v>14159.25</v>
      </c>
      <c r="G60" s="33"/>
      <c r="H60" s="33"/>
      <c r="I60" s="33">
        <v>5081.01</v>
      </c>
      <c r="J60" s="141">
        <f>F60-I60</f>
        <v>9078.24</v>
      </c>
      <c r="K60" s="71">
        <v>0.21360000000000001</v>
      </c>
      <c r="L60" s="69">
        <f>(F60-10248.01)*23.52%</f>
        <v>919.92364799999996</v>
      </c>
      <c r="M60" s="69">
        <v>1641.75</v>
      </c>
      <c r="N60" s="69">
        <f>M60+L60</f>
        <v>2561.673648</v>
      </c>
      <c r="O60" s="33"/>
      <c r="P60" s="33"/>
      <c r="Q60" s="33"/>
      <c r="R60" s="33"/>
      <c r="S60" s="33"/>
      <c r="T60" s="70">
        <f t="shared" ref="T60:T61" si="31">F60+G60+H60-N60+O60-P60-Q60-R60-S60</f>
        <v>11597.576352</v>
      </c>
      <c r="U60" s="70">
        <f t="shared" ref="U60:U61" si="32">T60-G60</f>
        <v>11597.576352</v>
      </c>
    </row>
    <row r="61" spans="1:21" x14ac:dyDescent="0.25">
      <c r="A61" s="41">
        <v>279</v>
      </c>
      <c r="B61" s="78" t="s">
        <v>408</v>
      </c>
      <c r="C61" s="78" t="s">
        <v>82</v>
      </c>
      <c r="D61" s="12">
        <v>15</v>
      </c>
      <c r="E61" s="69">
        <v>312.26</v>
      </c>
      <c r="F61" s="69">
        <f t="shared" ref="F61" si="33">D61*E61</f>
        <v>4683.8999999999996</v>
      </c>
      <c r="G61" s="69">
        <v>400</v>
      </c>
      <c r="H61" s="153"/>
      <c r="I61" s="69">
        <f>VLOOKUP($F$71,Tabisr,1)</f>
        <v>5925.91</v>
      </c>
      <c r="J61" s="147">
        <f>+F61-I61</f>
        <v>-1242.0100000000002</v>
      </c>
      <c r="K61" s="148">
        <f>VLOOKUP($F$71,Tabisr,4)</f>
        <v>0.21360000000000001</v>
      </c>
      <c r="L61" s="69">
        <f>(F61-4244.01)*17.92%</f>
        <v>78.828287999999901</v>
      </c>
      <c r="M61" s="69">
        <v>388.05</v>
      </c>
      <c r="N61" s="69">
        <f>M61+L61</f>
        <v>466.87828799999988</v>
      </c>
      <c r="O61" s="69">
        <f>VLOOKUP($F$71,Tabsub,3)</f>
        <v>0</v>
      </c>
      <c r="P61" s="69"/>
      <c r="Q61" s="69"/>
      <c r="R61" s="69"/>
      <c r="S61" s="69"/>
      <c r="T61" s="147">
        <f t="shared" si="31"/>
        <v>4617.0217119999998</v>
      </c>
      <c r="U61" s="147">
        <f t="shared" si="32"/>
        <v>4217.0217119999998</v>
      </c>
    </row>
    <row r="62" spans="1:21" s="72" customFormat="1" x14ac:dyDescent="0.25">
      <c r="A62" s="33">
        <v>33</v>
      </c>
      <c r="B62" s="116" t="s">
        <v>450</v>
      </c>
      <c r="C62" s="116" t="s">
        <v>440</v>
      </c>
      <c r="D62" s="12">
        <v>15</v>
      </c>
      <c r="E62" s="69">
        <v>414.83</v>
      </c>
      <c r="F62" s="69">
        <f t="shared" ref="F62" si="34">D62*E62</f>
        <v>6222.45</v>
      </c>
      <c r="G62" s="69">
        <v>400</v>
      </c>
      <c r="H62" s="153"/>
      <c r="I62" s="69">
        <f>VLOOKUP($F$71,Tabisr,1)</f>
        <v>5925.91</v>
      </c>
      <c r="J62" s="147">
        <f>+F62-I62</f>
        <v>296.53999999999996</v>
      </c>
      <c r="K62" s="148">
        <f>VLOOKUP($F$71,Tabisr,4)</f>
        <v>0.21360000000000001</v>
      </c>
      <c r="L62" s="69">
        <f>(F62-4244.01)*17.92%</f>
        <v>354.53644800000001</v>
      </c>
      <c r="M62" s="69">
        <v>389.05</v>
      </c>
      <c r="N62" s="69">
        <v>690.94</v>
      </c>
      <c r="O62" s="69">
        <f>VLOOKUP($F$71,Tabsub,3)</f>
        <v>0</v>
      </c>
      <c r="P62" s="69"/>
      <c r="Q62" s="69"/>
      <c r="R62" s="69"/>
      <c r="S62" s="69"/>
      <c r="T62" s="147">
        <f t="shared" ref="T62" si="35">F62+G62+H62-N62+O62-P62-Q62-R62-S62</f>
        <v>5931.51</v>
      </c>
      <c r="U62" s="147">
        <f t="shared" ref="U62" si="36">T62-G62</f>
        <v>5531.51</v>
      </c>
    </row>
    <row r="63" spans="1:21" s="72" customFormat="1" x14ac:dyDescent="0.25">
      <c r="A63" s="33">
        <v>34</v>
      </c>
      <c r="B63" s="67" t="s">
        <v>111</v>
      </c>
      <c r="C63" s="67" t="s">
        <v>112</v>
      </c>
      <c r="D63" s="12">
        <v>15</v>
      </c>
      <c r="E63" s="69">
        <v>414.83</v>
      </c>
      <c r="F63" s="69">
        <f t="shared" ref="F63" si="37">D63*E63</f>
        <v>6222.45</v>
      </c>
      <c r="G63" s="69">
        <v>400</v>
      </c>
      <c r="H63" s="153"/>
      <c r="I63" s="69">
        <f>VLOOKUP($F$71,Tabisr,1)</f>
        <v>5925.91</v>
      </c>
      <c r="J63" s="147">
        <f>+F63-I63</f>
        <v>296.53999999999996</v>
      </c>
      <c r="K63" s="148">
        <f>VLOOKUP($F$71,Tabisr,4)</f>
        <v>0.21360000000000001</v>
      </c>
      <c r="L63" s="69">
        <f>(F63-4244.01)*17.92%</f>
        <v>354.53644800000001</v>
      </c>
      <c r="M63" s="69">
        <v>389.05</v>
      </c>
      <c r="N63" s="69">
        <v>690.94</v>
      </c>
      <c r="O63" s="69">
        <f>VLOOKUP($F$71,Tabsub,3)</f>
        <v>0</v>
      </c>
      <c r="P63" s="69"/>
      <c r="Q63" s="69"/>
      <c r="R63" s="69"/>
      <c r="S63" s="69"/>
      <c r="T63" s="147">
        <f t="shared" ref="T63" si="38">F63+G63+H63-N63+O63-P63-Q63-R63-S63</f>
        <v>5931.51</v>
      </c>
      <c r="U63" s="147">
        <f t="shared" ref="U63" si="39">T63-G63</f>
        <v>5531.51</v>
      </c>
    </row>
    <row r="64" spans="1:21" s="72" customFormat="1" x14ac:dyDescent="0.25">
      <c r="A64" s="35">
        <v>251</v>
      </c>
      <c r="B64" s="92" t="s">
        <v>244</v>
      </c>
      <c r="C64" s="57" t="s">
        <v>70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</row>
    <row r="65" spans="1:21" s="72" customFormat="1" x14ac:dyDescent="0.25">
      <c r="A65" s="35">
        <v>31</v>
      </c>
      <c r="B65" s="57" t="s">
        <v>244</v>
      </c>
      <c r="C65" s="58" t="s">
        <v>328</v>
      </c>
      <c r="D65" s="14"/>
      <c r="E65" s="59"/>
      <c r="F65" s="59"/>
      <c r="G65" s="59"/>
      <c r="H65" s="35"/>
      <c r="I65" s="59"/>
      <c r="J65" s="61"/>
      <c r="K65" s="62"/>
      <c r="L65" s="59"/>
      <c r="M65" s="59"/>
      <c r="N65" s="59"/>
      <c r="O65" s="59"/>
      <c r="P65" s="59"/>
      <c r="Q65" s="59"/>
      <c r="R65" s="59"/>
      <c r="S65" s="59"/>
      <c r="T65" s="61"/>
      <c r="U65" s="61"/>
    </row>
    <row r="66" spans="1:21" s="75" customFormat="1" x14ac:dyDescent="0.25">
      <c r="A66" s="35">
        <v>36</v>
      </c>
      <c r="B66" s="57" t="s">
        <v>244</v>
      </c>
      <c r="C66" s="57" t="s">
        <v>270</v>
      </c>
      <c r="D66" s="14"/>
      <c r="E66" s="59"/>
      <c r="F66" s="59"/>
      <c r="G66" s="59"/>
      <c r="H66" s="60"/>
      <c r="I66" s="59">
        <v>5081</v>
      </c>
      <c r="J66" s="61">
        <f>+F66-I66</f>
        <v>-5081</v>
      </c>
      <c r="K66" s="62">
        <v>0.21360000000000001</v>
      </c>
      <c r="L66" s="59">
        <f>(F66-5081.01)*21.36%</f>
        <v>-1085.3037360000001</v>
      </c>
      <c r="M66" s="59">
        <v>538.20000000000005</v>
      </c>
      <c r="N66" s="170"/>
      <c r="O66" s="59"/>
      <c r="P66" s="59"/>
      <c r="Q66" s="59"/>
      <c r="R66" s="59"/>
      <c r="S66" s="59"/>
      <c r="T66" s="61"/>
      <c r="U66" s="61"/>
    </row>
    <row r="67" spans="1:21" s="72" customFormat="1" x14ac:dyDescent="0.25">
      <c r="A67" s="38">
        <v>38</v>
      </c>
      <c r="B67" s="57" t="s">
        <v>244</v>
      </c>
      <c r="C67" s="58" t="s">
        <v>394</v>
      </c>
      <c r="D67" s="14"/>
      <c r="E67" s="59"/>
      <c r="F67" s="59"/>
      <c r="G67" s="59"/>
      <c r="H67" s="35"/>
      <c r="I67" s="59"/>
      <c r="J67" s="61"/>
      <c r="K67" s="62"/>
      <c r="L67" s="59"/>
      <c r="M67" s="59"/>
      <c r="N67" s="59"/>
      <c r="O67" s="59"/>
      <c r="P67" s="59"/>
      <c r="Q67" s="59"/>
      <c r="R67" s="59"/>
      <c r="S67" s="59"/>
      <c r="T67" s="61"/>
      <c r="U67" s="61"/>
    </row>
    <row r="68" spans="1:21" s="75" customFormat="1" x14ac:dyDescent="0.25">
      <c r="A68" s="33">
        <v>249</v>
      </c>
      <c r="B68" s="67" t="s">
        <v>348</v>
      </c>
      <c r="C68" s="67" t="s">
        <v>394</v>
      </c>
      <c r="D68" s="12">
        <v>15</v>
      </c>
      <c r="E68" s="69">
        <v>312.06</v>
      </c>
      <c r="F68" s="69">
        <f t="shared" ref="F68" si="40">D68*E68</f>
        <v>4680.8999999999996</v>
      </c>
      <c r="G68" s="52">
        <v>400</v>
      </c>
      <c r="H68" s="52"/>
      <c r="I68" s="69">
        <v>3651.01</v>
      </c>
      <c r="J68" s="70">
        <f>+F68-I68</f>
        <v>1029.8899999999994</v>
      </c>
      <c r="K68" s="71">
        <v>0.16</v>
      </c>
      <c r="L68" s="69">
        <f>(F68-3651.01)*16%</f>
        <v>164.78239999999991</v>
      </c>
      <c r="M68" s="69">
        <v>293.25</v>
      </c>
      <c r="N68" s="69">
        <v>522.84</v>
      </c>
      <c r="O68" s="69"/>
      <c r="P68" s="69"/>
      <c r="Q68" s="69"/>
      <c r="R68" s="69"/>
      <c r="S68" s="69"/>
      <c r="T68" s="70">
        <f t="shared" ref="T68:T69" si="41">F68+G68+H68-N68+O68-P68-R68-S68</f>
        <v>4558.0599999999995</v>
      </c>
      <c r="U68" s="70">
        <f t="shared" ref="U68:U71" si="42">T68-G68</f>
        <v>4158.0599999999995</v>
      </c>
    </row>
    <row r="69" spans="1:21" s="72" customFormat="1" x14ac:dyDescent="0.25">
      <c r="A69" s="33">
        <v>37</v>
      </c>
      <c r="B69" s="67" t="s">
        <v>293</v>
      </c>
      <c r="C69" s="67" t="s">
        <v>319</v>
      </c>
      <c r="D69" s="12">
        <v>15</v>
      </c>
      <c r="E69" s="69">
        <v>626.19000000000005</v>
      </c>
      <c r="F69" s="69">
        <f t="shared" ref="F69:F71" si="43">D69*E69</f>
        <v>9392.85</v>
      </c>
      <c r="G69" s="69"/>
      <c r="H69" s="134"/>
      <c r="I69" s="69">
        <v>5081</v>
      </c>
      <c r="J69" s="70">
        <f>+F69-I69</f>
        <v>4311.8500000000004</v>
      </c>
      <c r="K69" s="71">
        <v>0.21360000000000001</v>
      </c>
      <c r="L69" s="69">
        <f>(F69-5081.01)*21.36%</f>
        <v>921.00902399999995</v>
      </c>
      <c r="M69" s="69">
        <v>538.20000000000005</v>
      </c>
      <c r="N69" s="139">
        <v>1571.8</v>
      </c>
      <c r="O69" s="69"/>
      <c r="P69" s="69"/>
      <c r="Q69" s="69"/>
      <c r="R69" s="69"/>
      <c r="S69" s="69"/>
      <c r="T69" s="70">
        <f t="shared" si="41"/>
        <v>7821.05</v>
      </c>
      <c r="U69" s="70">
        <f t="shared" si="42"/>
        <v>7821.05</v>
      </c>
    </row>
    <row r="70" spans="1:21" s="75" customFormat="1" x14ac:dyDescent="0.25">
      <c r="A70" s="40">
        <v>281</v>
      </c>
      <c r="B70" s="78" t="s">
        <v>411</v>
      </c>
      <c r="C70" s="68" t="s">
        <v>410</v>
      </c>
      <c r="D70" s="12">
        <v>15</v>
      </c>
      <c r="E70" s="69">
        <v>414.83</v>
      </c>
      <c r="F70" s="69">
        <f t="shared" si="43"/>
        <v>6222.45</v>
      </c>
      <c r="G70" s="69">
        <v>400</v>
      </c>
      <c r="H70" s="153"/>
      <c r="I70" s="69">
        <f>VLOOKUP($F$71,Tabisr,1)</f>
        <v>5925.91</v>
      </c>
      <c r="J70" s="147">
        <f>+F70-I70</f>
        <v>296.53999999999996</v>
      </c>
      <c r="K70" s="148">
        <f>VLOOKUP($F$71,Tabisr,4)</f>
        <v>0.21360000000000001</v>
      </c>
      <c r="L70" s="69">
        <f>(F70-4244.01)*17.92%</f>
        <v>354.53644800000001</v>
      </c>
      <c r="M70" s="69">
        <v>389.05</v>
      </c>
      <c r="N70" s="69">
        <v>690.94</v>
      </c>
      <c r="O70" s="69">
        <f>VLOOKUP($F$71,Tabsub,3)</f>
        <v>0</v>
      </c>
      <c r="P70" s="69"/>
      <c r="Q70" s="69"/>
      <c r="R70" s="69"/>
      <c r="S70" s="69"/>
      <c r="T70" s="147">
        <f t="shared" ref="T70:T71" si="44">F70+G70+H70-N70+O70-P70-Q70-R70-S70</f>
        <v>5931.51</v>
      </c>
      <c r="U70" s="147">
        <f t="shared" si="42"/>
        <v>5531.51</v>
      </c>
    </row>
    <row r="71" spans="1:21" s="72" customFormat="1" x14ac:dyDescent="0.25">
      <c r="A71" s="33">
        <v>39</v>
      </c>
      <c r="B71" s="67" t="s">
        <v>243</v>
      </c>
      <c r="C71" s="67" t="s">
        <v>409</v>
      </c>
      <c r="D71" s="12">
        <v>15</v>
      </c>
      <c r="E71" s="69">
        <v>414.83</v>
      </c>
      <c r="F71" s="69">
        <f t="shared" si="43"/>
        <v>6222.45</v>
      </c>
      <c r="G71" s="69">
        <v>400</v>
      </c>
      <c r="H71" s="153"/>
      <c r="I71" s="69">
        <f>VLOOKUP($F$71,Tabisr,1)</f>
        <v>5925.91</v>
      </c>
      <c r="J71" s="147">
        <f>+F71-I71</f>
        <v>296.53999999999996</v>
      </c>
      <c r="K71" s="148">
        <f>VLOOKUP($F$71,Tabisr,4)</f>
        <v>0.21360000000000001</v>
      </c>
      <c r="L71" s="69">
        <f>(F71-4244.01)*17.92%</f>
        <v>354.53644800000001</v>
      </c>
      <c r="M71" s="69">
        <v>389.05</v>
      </c>
      <c r="N71" s="69">
        <v>690.94</v>
      </c>
      <c r="O71" s="69">
        <f>VLOOKUP($F$71,Tabsub,3)</f>
        <v>0</v>
      </c>
      <c r="P71" s="69"/>
      <c r="Q71" s="69"/>
      <c r="R71" s="69"/>
      <c r="S71" s="69"/>
      <c r="T71" s="147">
        <f t="shared" si="44"/>
        <v>5931.51</v>
      </c>
      <c r="U71" s="147">
        <f t="shared" si="42"/>
        <v>5531.51</v>
      </c>
    </row>
    <row r="72" spans="1:21" s="72" customFormat="1" x14ac:dyDescent="0.25">
      <c r="A72" s="33">
        <v>43</v>
      </c>
      <c r="B72" s="67" t="s">
        <v>36</v>
      </c>
      <c r="C72" s="67" t="s">
        <v>70</v>
      </c>
      <c r="D72" s="12">
        <v>15</v>
      </c>
      <c r="E72" s="12">
        <v>263.56</v>
      </c>
      <c r="F72" s="69">
        <f t="shared" ref="F72" si="45">D72*E72</f>
        <v>3953.4</v>
      </c>
      <c r="G72" s="69">
        <v>400</v>
      </c>
      <c r="H72" s="69"/>
      <c r="I72" s="69">
        <f>VLOOKUP($F$75,Tabisr,1)</f>
        <v>2422.81</v>
      </c>
      <c r="J72" s="70">
        <f t="shared" ref="J72:J75" si="46">+F72-I72</f>
        <v>1530.5900000000001</v>
      </c>
      <c r="K72" s="71">
        <f>VLOOKUP($F$75,Tabisr,4)</f>
        <v>0.10879999999999999</v>
      </c>
      <c r="L72" s="69">
        <f>(F72-3651.01)*16%</f>
        <v>48.382399999999983</v>
      </c>
      <c r="M72" s="69">
        <v>293.25</v>
      </c>
      <c r="N72" s="69">
        <f>M72+L72</f>
        <v>341.63239999999996</v>
      </c>
      <c r="O72" s="69">
        <f>VLOOKUP($F$75,Tabsub,3)</f>
        <v>0</v>
      </c>
      <c r="P72" s="246">
        <v>450</v>
      </c>
      <c r="Q72" s="247">
        <v>600</v>
      </c>
      <c r="R72" s="69"/>
      <c r="S72" s="69"/>
      <c r="T72" s="70">
        <f>F72+G72+H72-N72+O72-P72-Q72-R72-S72</f>
        <v>2961.7675999999997</v>
      </c>
      <c r="U72" s="70">
        <f>T72-G72</f>
        <v>2561.7675999999997</v>
      </c>
    </row>
    <row r="73" spans="1:21" s="72" customFormat="1" x14ac:dyDescent="0.25">
      <c r="A73" s="33">
        <v>41</v>
      </c>
      <c r="B73" s="67" t="s">
        <v>5</v>
      </c>
      <c r="C73" s="67" t="s">
        <v>88</v>
      </c>
      <c r="D73" s="12">
        <v>15</v>
      </c>
      <c r="E73" s="69">
        <v>263.56</v>
      </c>
      <c r="F73" s="69">
        <f t="shared" ref="F73:F75" si="47">D73*E73</f>
        <v>3953.4</v>
      </c>
      <c r="G73" s="69">
        <v>400</v>
      </c>
      <c r="H73" s="69"/>
      <c r="I73" s="69">
        <f>VLOOKUP($F$73,Tabisr,1)</f>
        <v>2422.81</v>
      </c>
      <c r="J73" s="70">
        <f t="shared" si="46"/>
        <v>1530.5900000000001</v>
      </c>
      <c r="K73" s="71">
        <f>VLOOKUP($F$73,Tabisr,4)</f>
        <v>0.10879999999999999</v>
      </c>
      <c r="L73" s="69">
        <f>(F73-3651.01)*16%</f>
        <v>48.382399999999983</v>
      </c>
      <c r="M73" s="69">
        <v>293.25</v>
      </c>
      <c r="N73" s="69">
        <f>M73+L73</f>
        <v>341.63239999999996</v>
      </c>
      <c r="O73" s="69">
        <f>VLOOKUP($F$73,Tabsub,3)</f>
        <v>0</v>
      </c>
      <c r="P73" s="69"/>
      <c r="Q73" s="69"/>
      <c r="R73" s="143"/>
      <c r="S73" s="69"/>
      <c r="T73" s="70">
        <f>F73+G73+H73-N73+O73-P73-Q73-R73-S73</f>
        <v>4011.7675999999997</v>
      </c>
      <c r="U73" s="70">
        <f>T73-G73</f>
        <v>3611.7675999999997</v>
      </c>
    </row>
    <row r="74" spans="1:21" s="72" customFormat="1" x14ac:dyDescent="0.25">
      <c r="A74" s="33">
        <v>42</v>
      </c>
      <c r="B74" s="67" t="s">
        <v>228</v>
      </c>
      <c r="C74" s="68" t="s">
        <v>183</v>
      </c>
      <c r="D74" s="12">
        <v>15</v>
      </c>
      <c r="E74" s="69">
        <v>312.26</v>
      </c>
      <c r="F74" s="69">
        <f t="shared" si="47"/>
        <v>4683.8999999999996</v>
      </c>
      <c r="G74" s="69">
        <v>400</v>
      </c>
      <c r="H74" s="69"/>
      <c r="I74" s="69">
        <f>VLOOKUP($F$71,Tabisr,1)</f>
        <v>5925.91</v>
      </c>
      <c r="J74" s="70">
        <f t="shared" si="46"/>
        <v>-1242.0100000000002</v>
      </c>
      <c r="K74" s="71">
        <f>VLOOKUP($F$71,Tabisr,4)</f>
        <v>0.21360000000000001</v>
      </c>
      <c r="L74" s="69">
        <f>(F74-4244.01)*17.92%</f>
        <v>78.828287999999901</v>
      </c>
      <c r="M74" s="69">
        <v>388.05</v>
      </c>
      <c r="N74" s="69">
        <f>M74+L74</f>
        <v>466.87828799999988</v>
      </c>
      <c r="O74" s="69">
        <f>VLOOKUP($F$71,Tabsub,3)</f>
        <v>0</v>
      </c>
      <c r="P74" s="69"/>
      <c r="Q74" s="69"/>
      <c r="R74" s="69"/>
      <c r="S74" s="69"/>
      <c r="T74" s="70">
        <f t="shared" ref="T74:T75" si="48">F74+G74+H74-N74+O74-P74-Q74-R74-S74</f>
        <v>4617.0217119999998</v>
      </c>
      <c r="U74" s="70">
        <f t="shared" ref="U74:U75" si="49">T74-G74</f>
        <v>4217.0217119999998</v>
      </c>
    </row>
    <row r="75" spans="1:21" s="72" customFormat="1" x14ac:dyDescent="0.25">
      <c r="A75" s="33">
        <v>43</v>
      </c>
      <c r="B75" s="67" t="s">
        <v>110</v>
      </c>
      <c r="C75" s="67" t="s">
        <v>70</v>
      </c>
      <c r="D75" s="12">
        <v>15</v>
      </c>
      <c r="E75" s="12">
        <v>263.56</v>
      </c>
      <c r="F75" s="69">
        <f t="shared" si="47"/>
        <v>3953.4</v>
      </c>
      <c r="G75" s="69">
        <v>400</v>
      </c>
      <c r="H75" s="69"/>
      <c r="I75" s="69">
        <f>VLOOKUP($F$75,Tabisr,1)</f>
        <v>2422.81</v>
      </c>
      <c r="J75" s="70">
        <f t="shared" si="46"/>
        <v>1530.5900000000001</v>
      </c>
      <c r="K75" s="71">
        <f>VLOOKUP($F$75,Tabisr,4)</f>
        <v>0.10879999999999999</v>
      </c>
      <c r="L75" s="69">
        <f>(F75-3651.01)*16%</f>
        <v>48.382399999999983</v>
      </c>
      <c r="M75" s="69">
        <v>293.25</v>
      </c>
      <c r="N75" s="69">
        <f>M75+L75</f>
        <v>341.63239999999996</v>
      </c>
      <c r="O75" s="69">
        <f>VLOOKUP($F$75,Tabsub,3)</f>
        <v>0</v>
      </c>
      <c r="P75" s="69"/>
      <c r="Q75" s="247">
        <v>600</v>
      </c>
      <c r="R75" s="69"/>
      <c r="S75" s="69"/>
      <c r="T75" s="70">
        <f t="shared" si="48"/>
        <v>3411.7675999999997</v>
      </c>
      <c r="U75" s="70">
        <f t="shared" si="49"/>
        <v>3011.7675999999997</v>
      </c>
    </row>
    <row r="76" spans="1:21" s="72" customFormat="1" x14ac:dyDescent="0.25">
      <c r="A76" s="36"/>
      <c r="B76" s="80"/>
      <c r="C76" s="81"/>
      <c r="D76" s="82" t="s">
        <v>271</v>
      </c>
      <c r="E76" s="82"/>
      <c r="F76" s="83">
        <f t="shared" ref="F76:U76" si="50">SUM(F60:F75)</f>
        <v>74350.799999999988</v>
      </c>
      <c r="G76" s="83">
        <f>SUM(G60:G75)</f>
        <v>4000</v>
      </c>
      <c r="H76" s="83">
        <f t="shared" si="50"/>
        <v>0</v>
      </c>
      <c r="I76" s="83">
        <f t="shared" si="50"/>
        <v>61717.91</v>
      </c>
      <c r="J76" s="83">
        <f t="shared" si="50"/>
        <v>12632.890000000001</v>
      </c>
      <c r="K76" s="83">
        <f t="shared" si="50"/>
        <v>2.4087999999999998</v>
      </c>
      <c r="L76" s="83">
        <f t="shared" si="50"/>
        <v>2641.3609039999992</v>
      </c>
      <c r="M76" s="83">
        <f t="shared" si="50"/>
        <v>6223.4500000000007</v>
      </c>
      <c r="N76" s="83">
        <f t="shared" si="50"/>
        <v>9378.7274240000024</v>
      </c>
      <c r="O76" s="83">
        <f t="shared" si="50"/>
        <v>0</v>
      </c>
      <c r="P76" s="83">
        <f t="shared" si="50"/>
        <v>450</v>
      </c>
      <c r="Q76" s="83">
        <f t="shared" si="50"/>
        <v>1200</v>
      </c>
      <c r="R76" s="83">
        <f t="shared" si="50"/>
        <v>0</v>
      </c>
      <c r="S76" s="83">
        <f t="shared" si="50"/>
        <v>0</v>
      </c>
      <c r="T76" s="83">
        <f t="shared" si="50"/>
        <v>67322.072576000006</v>
      </c>
      <c r="U76" s="83">
        <f t="shared" si="50"/>
        <v>63322.072576000006</v>
      </c>
    </row>
    <row r="77" spans="1:21" s="72" customFormat="1" x14ac:dyDescent="0.25">
      <c r="A77" s="36"/>
      <c r="B77" s="80"/>
      <c r="C77" s="81"/>
      <c r="D77" s="82"/>
      <c r="E77" s="82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</row>
    <row r="78" spans="1:21" s="72" customFormat="1" x14ac:dyDescent="0.25">
      <c r="A78" s="36"/>
      <c r="B78" s="80"/>
      <c r="C78" s="81"/>
      <c r="D78" s="82"/>
      <c r="E78" s="82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</row>
    <row r="79" spans="1:21" s="72" customFormat="1" x14ac:dyDescent="0.25">
      <c r="A79" s="192" t="s">
        <v>326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4"/>
    </row>
    <row r="80" spans="1:21" s="72" customFormat="1" ht="24" x14ac:dyDescent="0.25">
      <c r="A80" s="32" t="s">
        <v>57</v>
      </c>
      <c r="B80" s="32" t="s">
        <v>13</v>
      </c>
      <c r="C80" s="32" t="s">
        <v>68</v>
      </c>
      <c r="D80" s="32" t="s">
        <v>21</v>
      </c>
      <c r="E80" s="32" t="s">
        <v>15</v>
      </c>
      <c r="F80" s="32" t="s">
        <v>14</v>
      </c>
      <c r="G80" s="32" t="s">
        <v>54</v>
      </c>
      <c r="H80" s="32" t="s">
        <v>60</v>
      </c>
      <c r="I80" s="49" t="s">
        <v>160</v>
      </c>
      <c r="J80" s="49" t="s">
        <v>161</v>
      </c>
      <c r="K80" s="49" t="s">
        <v>162</v>
      </c>
      <c r="L80" s="49" t="s">
        <v>163</v>
      </c>
      <c r="M80" s="32" t="s">
        <v>164</v>
      </c>
      <c r="N80" s="32" t="s">
        <v>55</v>
      </c>
      <c r="O80" s="32" t="s">
        <v>56</v>
      </c>
      <c r="P80" s="32" t="s">
        <v>16</v>
      </c>
      <c r="Q80" s="32" t="s">
        <v>242</v>
      </c>
      <c r="R80" s="32" t="s">
        <v>59</v>
      </c>
      <c r="S80" s="32" t="s">
        <v>66</v>
      </c>
      <c r="T80" s="32" t="s">
        <v>64</v>
      </c>
      <c r="U80" s="32" t="s">
        <v>65</v>
      </c>
    </row>
    <row r="81" spans="1:21" s="72" customFormat="1" x14ac:dyDescent="0.25">
      <c r="A81" s="173">
        <v>212</v>
      </c>
      <c r="B81" s="172" t="s">
        <v>478</v>
      </c>
      <c r="C81" s="172" t="s">
        <v>326</v>
      </c>
      <c r="D81" s="174">
        <v>15</v>
      </c>
      <c r="E81" s="52">
        <v>661.33</v>
      </c>
      <c r="F81" s="52">
        <f>D81*E81</f>
        <v>9919.9500000000007</v>
      </c>
      <c r="G81" s="52"/>
      <c r="H81" s="154"/>
      <c r="I81" s="52">
        <v>5081</v>
      </c>
      <c r="J81" s="53">
        <f>+F81-I81</f>
        <v>4838.9500000000007</v>
      </c>
      <c r="K81" s="54">
        <v>0.21360000000000001</v>
      </c>
      <c r="L81" s="52">
        <f>(F81-5081.01)*21.36%</f>
        <v>1033.5975840000001</v>
      </c>
      <c r="M81" s="52">
        <v>538.20000000000005</v>
      </c>
      <c r="N81" s="155">
        <f>L81+M81</f>
        <v>1571.7975840000001</v>
      </c>
      <c r="O81" s="52"/>
      <c r="P81" s="52"/>
      <c r="Q81" s="52"/>
      <c r="R81" s="52"/>
      <c r="S81" s="52"/>
      <c r="T81" s="53">
        <f>F81+G81+H81-N81+O81-P81-R81-S81</f>
        <v>8348.1524160000008</v>
      </c>
      <c r="U81" s="53">
        <f>T81-G81</f>
        <v>8348.1524160000008</v>
      </c>
    </row>
    <row r="82" spans="1:21" s="75" customFormat="1" x14ac:dyDescent="0.25">
      <c r="A82" s="33">
        <v>40</v>
      </c>
      <c r="B82" s="67" t="s">
        <v>466</v>
      </c>
      <c r="C82" s="67" t="s">
        <v>327</v>
      </c>
      <c r="D82" s="12">
        <v>15</v>
      </c>
      <c r="E82" s="69">
        <v>312.26</v>
      </c>
      <c r="F82" s="69">
        <f t="shared" ref="F82" si="51">D82*E82</f>
        <v>4683.8999999999996</v>
      </c>
      <c r="G82" s="69">
        <v>400</v>
      </c>
      <c r="H82" s="69"/>
      <c r="I82" s="69">
        <f>VLOOKUP($F$71,Tabisr,1)</f>
        <v>5925.91</v>
      </c>
      <c r="J82" s="70">
        <f t="shared" ref="J82" si="52">+F82-I82</f>
        <v>-1242.0100000000002</v>
      </c>
      <c r="K82" s="71">
        <f>VLOOKUP($F$71,Tabisr,4)</f>
        <v>0.21360000000000001</v>
      </c>
      <c r="L82" s="69">
        <f>(F82-4244.01)*17.92%</f>
        <v>78.828287999999901</v>
      </c>
      <c r="M82" s="69">
        <v>388.05</v>
      </c>
      <c r="N82" s="69">
        <f>M82+L82</f>
        <v>466.87828799999988</v>
      </c>
      <c r="O82" s="69">
        <f>VLOOKUP($F$71,Tabsub,3)</f>
        <v>0</v>
      </c>
      <c r="P82" s="69"/>
      <c r="Q82" s="69"/>
      <c r="R82" s="69"/>
      <c r="S82" s="69"/>
      <c r="T82" s="70">
        <f t="shared" ref="T82" si="53">F82+G82+H82-N82+O82-P82-Q82-R82-S82</f>
        <v>4617.0217119999998</v>
      </c>
      <c r="U82" s="70">
        <f t="shared" ref="U82" si="54">T82-G82</f>
        <v>4217.0217119999998</v>
      </c>
    </row>
    <row r="83" spans="1:21" s="72" customFormat="1" x14ac:dyDescent="0.25">
      <c r="A83" s="39"/>
      <c r="B83" s="89"/>
      <c r="C83" s="89"/>
      <c r="D83" s="25"/>
      <c r="E83" s="90"/>
      <c r="F83" s="91">
        <f t="shared" ref="F83:U83" si="55">SUM(F81:F82)</f>
        <v>14603.85</v>
      </c>
      <c r="G83" s="91">
        <f>SUM(G81:G82)</f>
        <v>400</v>
      </c>
      <c r="H83" s="91">
        <f t="shared" si="55"/>
        <v>0</v>
      </c>
      <c r="I83" s="91">
        <f t="shared" si="55"/>
        <v>11006.91</v>
      </c>
      <c r="J83" s="91">
        <f t="shared" si="55"/>
        <v>3596.9400000000005</v>
      </c>
      <c r="K83" s="91">
        <f t="shared" si="55"/>
        <v>0.42720000000000002</v>
      </c>
      <c r="L83" s="91">
        <f t="shared" si="55"/>
        <v>1112.425872</v>
      </c>
      <c r="M83" s="91">
        <f t="shared" si="55"/>
        <v>926.25</v>
      </c>
      <c r="N83" s="91">
        <f t="shared" si="55"/>
        <v>2038.675872</v>
      </c>
      <c r="O83" s="91">
        <f t="shared" si="55"/>
        <v>0</v>
      </c>
      <c r="P83" s="91">
        <f t="shared" si="55"/>
        <v>0</v>
      </c>
      <c r="Q83" s="91">
        <f t="shared" si="55"/>
        <v>0</v>
      </c>
      <c r="R83" s="91">
        <f t="shared" si="55"/>
        <v>0</v>
      </c>
      <c r="S83" s="91">
        <f t="shared" si="55"/>
        <v>0</v>
      </c>
      <c r="T83" s="91">
        <f t="shared" si="55"/>
        <v>12965.174128000001</v>
      </c>
      <c r="U83" s="91">
        <f t="shared" si="55"/>
        <v>12565.174128000001</v>
      </c>
    </row>
    <row r="84" spans="1:21" s="72" customFormat="1" x14ac:dyDescent="0.25">
      <c r="A84" s="39"/>
      <c r="B84" s="89"/>
      <c r="C84" s="89"/>
      <c r="D84" s="25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</row>
    <row r="85" spans="1:21" s="72" customFormat="1" x14ac:dyDescent="0.25">
      <c r="A85" s="36"/>
      <c r="B85" s="80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  <row r="86" spans="1:21" s="72" customFormat="1" x14ac:dyDescent="0.25">
      <c r="A86" s="192" t="s">
        <v>201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4"/>
    </row>
    <row r="87" spans="1:21" s="72" customFormat="1" ht="24" x14ac:dyDescent="0.25">
      <c r="A87" s="32" t="s">
        <v>57</v>
      </c>
      <c r="B87" s="32" t="s">
        <v>13</v>
      </c>
      <c r="C87" s="32" t="s">
        <v>68</v>
      </c>
      <c r="D87" s="32" t="s">
        <v>21</v>
      </c>
      <c r="E87" s="32" t="s">
        <v>15</v>
      </c>
      <c r="F87" s="32" t="s">
        <v>14</v>
      </c>
      <c r="G87" s="32" t="s">
        <v>54</v>
      </c>
      <c r="H87" s="32" t="s">
        <v>60</v>
      </c>
      <c r="I87" s="49" t="s">
        <v>160</v>
      </c>
      <c r="J87" s="49" t="s">
        <v>161</v>
      </c>
      <c r="K87" s="49" t="s">
        <v>162</v>
      </c>
      <c r="L87" s="49" t="s">
        <v>163</v>
      </c>
      <c r="M87" s="32" t="s">
        <v>164</v>
      </c>
      <c r="N87" s="32" t="s">
        <v>55</v>
      </c>
      <c r="O87" s="32" t="s">
        <v>56</v>
      </c>
      <c r="P87" s="32" t="s">
        <v>16</v>
      </c>
      <c r="Q87" s="32" t="s">
        <v>242</v>
      </c>
      <c r="R87" s="32" t="s">
        <v>59</v>
      </c>
      <c r="S87" s="32" t="s">
        <v>66</v>
      </c>
      <c r="T87" s="32" t="s">
        <v>64</v>
      </c>
      <c r="U87" s="32" t="s">
        <v>65</v>
      </c>
    </row>
    <row r="88" spans="1:21" s="72" customFormat="1" x14ac:dyDescent="0.25">
      <c r="A88" s="37">
        <v>44</v>
      </c>
      <c r="B88" s="50" t="s">
        <v>419</v>
      </c>
      <c r="C88" s="50" t="s">
        <v>254</v>
      </c>
      <c r="D88" s="11">
        <v>15</v>
      </c>
      <c r="E88" s="52">
        <v>661.33</v>
      </c>
      <c r="F88" s="52">
        <f>D88*E88</f>
        <v>9919.9500000000007</v>
      </c>
      <c r="G88" s="52"/>
      <c r="H88" s="154"/>
      <c r="I88" s="52">
        <v>5081</v>
      </c>
      <c r="J88" s="53">
        <f>+F88-I88</f>
        <v>4838.9500000000007</v>
      </c>
      <c r="K88" s="54">
        <v>0.21360000000000001</v>
      </c>
      <c r="L88" s="52">
        <f>(F88-5081.01)*21.36%</f>
        <v>1033.5975840000001</v>
      </c>
      <c r="M88" s="52">
        <v>538.20000000000005</v>
      </c>
      <c r="N88" s="155">
        <f>L88+M88</f>
        <v>1571.7975840000001</v>
      </c>
      <c r="O88" s="52"/>
      <c r="P88" s="52"/>
      <c r="Q88" s="52"/>
      <c r="R88" s="52"/>
      <c r="S88" s="52"/>
      <c r="T88" s="53">
        <f>F88+G88+H88-N88+O88-P88-R88-S88</f>
        <v>8348.1524160000008</v>
      </c>
      <c r="U88" s="53">
        <f>T88-G88</f>
        <v>8348.1524160000008</v>
      </c>
    </row>
    <row r="89" spans="1:21" s="72" customFormat="1" x14ac:dyDescent="0.25">
      <c r="A89" s="37">
        <v>281</v>
      </c>
      <c r="B89" s="50" t="s">
        <v>432</v>
      </c>
      <c r="C89" s="50" t="s">
        <v>416</v>
      </c>
      <c r="D89" s="33">
        <v>15</v>
      </c>
      <c r="E89" s="69">
        <v>414.83</v>
      </c>
      <c r="F89" s="69">
        <f t="shared" ref="F89" si="56">D89*E89</f>
        <v>6222.45</v>
      </c>
      <c r="G89" s="69">
        <v>400</v>
      </c>
      <c r="H89" s="153"/>
      <c r="I89" s="69">
        <f>VLOOKUP($F$71,Tabisr,1)</f>
        <v>5925.91</v>
      </c>
      <c r="J89" s="147">
        <f>+F89-I89</f>
        <v>296.53999999999996</v>
      </c>
      <c r="K89" s="148">
        <f>VLOOKUP($F$71,Tabisr,4)</f>
        <v>0.21360000000000001</v>
      </c>
      <c r="L89" s="69">
        <f>(F89-4244.01)*17.92%</f>
        <v>354.53644800000001</v>
      </c>
      <c r="M89" s="69">
        <v>389.05</v>
      </c>
      <c r="N89" s="69">
        <v>690.94</v>
      </c>
      <c r="O89" s="69">
        <f>VLOOKUP($F$71,Tabsub,3)</f>
        <v>0</v>
      </c>
      <c r="P89" s="69"/>
      <c r="Q89" s="69"/>
      <c r="R89" s="69"/>
      <c r="S89" s="69"/>
      <c r="T89" s="147">
        <f t="shared" ref="T89" si="57">F89+G89+H89-N89+O89-P89-Q89-R89-S89</f>
        <v>5931.51</v>
      </c>
      <c r="U89" s="147">
        <f t="shared" ref="U89" si="58">T89-G89</f>
        <v>5531.51</v>
      </c>
    </row>
    <row r="90" spans="1:21" s="72" customFormat="1" x14ac:dyDescent="0.25">
      <c r="A90" s="36"/>
      <c r="B90" s="63"/>
      <c r="C90" s="73"/>
      <c r="D90" s="13"/>
      <c r="E90" s="64"/>
      <c r="F90" s="74">
        <f>+SUM(F88:F89)</f>
        <v>16142.400000000001</v>
      </c>
      <c r="G90" s="74">
        <f>SUM(G88:G89)</f>
        <v>400</v>
      </c>
      <c r="H90" s="74">
        <f t="shared" ref="H90:S90" si="59">+SUM(H89:H89)</f>
        <v>0</v>
      </c>
      <c r="I90" s="74">
        <f t="shared" si="59"/>
        <v>5925.91</v>
      </c>
      <c r="J90" s="74">
        <f t="shared" si="59"/>
        <v>296.53999999999996</v>
      </c>
      <c r="K90" s="74">
        <f t="shared" si="59"/>
        <v>0.21360000000000001</v>
      </c>
      <c r="L90" s="74">
        <f t="shared" si="59"/>
        <v>354.53644800000001</v>
      </c>
      <c r="M90" s="74">
        <f t="shared" si="59"/>
        <v>389.05</v>
      </c>
      <c r="N90" s="74">
        <f>SUM(N88:N89)</f>
        <v>2262.7375840000004</v>
      </c>
      <c r="O90" s="74">
        <f t="shared" si="59"/>
        <v>0</v>
      </c>
      <c r="P90" s="74">
        <f t="shared" si="59"/>
        <v>0</v>
      </c>
      <c r="Q90" s="74">
        <f t="shared" si="59"/>
        <v>0</v>
      </c>
      <c r="R90" s="74">
        <f t="shared" si="59"/>
        <v>0</v>
      </c>
      <c r="S90" s="74">
        <f t="shared" si="59"/>
        <v>0</v>
      </c>
      <c r="T90" s="74">
        <f>SUM(T88:T89)</f>
        <v>14279.662416000001</v>
      </c>
      <c r="U90" s="74">
        <f>SUM(U88:U89)</f>
        <v>13879.662416000001</v>
      </c>
    </row>
    <row r="91" spans="1:21" s="72" customFormat="1" x14ac:dyDescent="0.25">
      <c r="A91" s="36"/>
      <c r="B91" s="63"/>
      <c r="C91" s="73"/>
      <c r="D91" s="13"/>
      <c r="E91" s="6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1:21" s="72" customFormat="1" x14ac:dyDescent="0.25">
      <c r="A92" s="36"/>
      <c r="B92" s="63"/>
      <c r="C92" s="73"/>
      <c r="D92" s="13"/>
      <c r="E92" s="6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1:21" s="72" customFormat="1" ht="12" customHeight="1" x14ac:dyDescent="0.25">
      <c r="A93" s="195" t="s">
        <v>202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7"/>
    </row>
    <row r="94" spans="1:21" s="72" customFormat="1" ht="24" x14ac:dyDescent="0.25">
      <c r="A94" s="32" t="s">
        <v>57</v>
      </c>
      <c r="B94" s="32" t="s">
        <v>13</v>
      </c>
      <c r="C94" s="32" t="s">
        <v>68</v>
      </c>
      <c r="D94" s="32" t="s">
        <v>21</v>
      </c>
      <c r="E94" s="32" t="s">
        <v>15</v>
      </c>
      <c r="F94" s="32" t="s">
        <v>14</v>
      </c>
      <c r="G94" s="32" t="s">
        <v>54</v>
      </c>
      <c r="H94" s="32" t="s">
        <v>60</v>
      </c>
      <c r="I94" s="49" t="s">
        <v>160</v>
      </c>
      <c r="J94" s="49" t="s">
        <v>161</v>
      </c>
      <c r="K94" s="49" t="s">
        <v>162</v>
      </c>
      <c r="L94" s="49" t="s">
        <v>163</v>
      </c>
      <c r="M94" s="32" t="s">
        <v>164</v>
      </c>
      <c r="N94" s="32" t="s">
        <v>55</v>
      </c>
      <c r="O94" s="32" t="s">
        <v>56</v>
      </c>
      <c r="P94" s="32" t="s">
        <v>16</v>
      </c>
      <c r="Q94" s="32" t="s">
        <v>242</v>
      </c>
      <c r="R94" s="32" t="s">
        <v>59</v>
      </c>
      <c r="S94" s="32" t="s">
        <v>66</v>
      </c>
      <c r="T94" s="32" t="s">
        <v>64</v>
      </c>
      <c r="U94" s="32" t="s">
        <v>65</v>
      </c>
    </row>
    <row r="95" spans="1:21" s="72" customFormat="1" ht="36" x14ac:dyDescent="0.25">
      <c r="A95" s="33">
        <v>45</v>
      </c>
      <c r="B95" s="67" t="s">
        <v>103</v>
      </c>
      <c r="C95" s="67" t="s">
        <v>255</v>
      </c>
      <c r="D95" s="12">
        <v>15</v>
      </c>
      <c r="E95" s="69">
        <v>661.33</v>
      </c>
      <c r="F95" s="69">
        <f>D95*E95</f>
        <v>9919.9500000000007</v>
      </c>
      <c r="G95" s="52"/>
      <c r="H95" s="52"/>
      <c r="I95" s="69">
        <v>5081</v>
      </c>
      <c r="J95" s="70">
        <f>+F95-I95</f>
        <v>4838.9500000000007</v>
      </c>
      <c r="K95" s="71">
        <v>0.21360000000000001</v>
      </c>
      <c r="L95" s="69">
        <f>(F95-5081.01)*21.36%</f>
        <v>1033.5975840000001</v>
      </c>
      <c r="M95" s="69">
        <v>538.20000000000005</v>
      </c>
      <c r="N95" s="155">
        <f>L95+M95</f>
        <v>1571.7975840000001</v>
      </c>
      <c r="O95" s="69">
        <f>VLOOKUP($F$95,Tabsub,3)</f>
        <v>0</v>
      </c>
      <c r="P95" s="52"/>
      <c r="Q95" s="52"/>
      <c r="R95" s="52"/>
      <c r="S95" s="52"/>
      <c r="T95" s="70">
        <f>F95+G95+H95-N95+O95-P95-Q95-R95-S95</f>
        <v>8348.1524160000008</v>
      </c>
      <c r="U95" s="70">
        <f>T95-G95</f>
        <v>8348.1524160000008</v>
      </c>
    </row>
    <row r="96" spans="1:21" s="72" customFormat="1" x14ac:dyDescent="0.25">
      <c r="A96" s="33">
        <v>83</v>
      </c>
      <c r="B96" s="67" t="s">
        <v>434</v>
      </c>
      <c r="C96" s="67" t="s">
        <v>76</v>
      </c>
      <c r="D96" s="12">
        <v>15</v>
      </c>
      <c r="E96" s="12">
        <v>263.56</v>
      </c>
      <c r="F96" s="69">
        <f t="shared" ref="F96" si="60">D96*E96</f>
        <v>3953.4</v>
      </c>
      <c r="G96" s="69">
        <v>400</v>
      </c>
      <c r="H96" s="69"/>
      <c r="I96" s="69">
        <f>VLOOKUP($F$75,Tabisr,1)</f>
        <v>2422.81</v>
      </c>
      <c r="J96" s="70">
        <f t="shared" ref="J96" si="61">+F96-I96</f>
        <v>1530.5900000000001</v>
      </c>
      <c r="K96" s="71">
        <f>VLOOKUP($F$75,Tabisr,4)</f>
        <v>0.10879999999999999</v>
      </c>
      <c r="L96" s="69">
        <f>(F96-3651.01)*16%</f>
        <v>48.382399999999983</v>
      </c>
      <c r="M96" s="69">
        <v>293.25</v>
      </c>
      <c r="N96" s="69">
        <f>M96+L96</f>
        <v>341.63239999999996</v>
      </c>
      <c r="O96" s="69">
        <f>VLOOKUP($F$75,Tabsub,3)</f>
        <v>0</v>
      </c>
      <c r="P96" s="69"/>
      <c r="Q96" s="69"/>
      <c r="R96" s="69"/>
      <c r="S96" s="69"/>
      <c r="T96" s="70">
        <f>F96+G96+H96-N96+O96-P96-Q96-R96-S96</f>
        <v>4011.7675999999997</v>
      </c>
      <c r="U96" s="70">
        <f>T96-G96</f>
        <v>3611.7675999999997</v>
      </c>
    </row>
    <row r="97" spans="1:21" s="72" customFormat="1" x14ac:dyDescent="0.25">
      <c r="A97" s="36"/>
      <c r="B97" s="63"/>
      <c r="C97" s="73"/>
      <c r="D97" s="13"/>
      <c r="E97" s="64"/>
      <c r="F97" s="74">
        <f>+SUM(F95:F96)</f>
        <v>13873.35</v>
      </c>
      <c r="G97" s="74">
        <f>+SUM(G95:G96)</f>
        <v>400</v>
      </c>
      <c r="H97" s="74">
        <f t="shared" ref="H97:S97" si="62">+SUM(H95:H96)</f>
        <v>0</v>
      </c>
      <c r="I97" s="74">
        <f t="shared" si="62"/>
        <v>7503.8099999999995</v>
      </c>
      <c r="J97" s="74">
        <f t="shared" si="62"/>
        <v>6369.5400000000009</v>
      </c>
      <c r="K97" s="74">
        <f t="shared" si="62"/>
        <v>0.32240000000000002</v>
      </c>
      <c r="L97" s="74">
        <f t="shared" si="62"/>
        <v>1081.9799840000001</v>
      </c>
      <c r="M97" s="74">
        <f t="shared" si="62"/>
        <v>831.45</v>
      </c>
      <c r="N97" s="74">
        <f>+SUM(N95:N96)</f>
        <v>1913.4299840000001</v>
      </c>
      <c r="O97" s="74">
        <f t="shared" si="62"/>
        <v>0</v>
      </c>
      <c r="P97" s="74">
        <f t="shared" si="62"/>
        <v>0</v>
      </c>
      <c r="Q97" s="74">
        <f t="shared" si="62"/>
        <v>0</v>
      </c>
      <c r="R97" s="74">
        <f t="shared" si="62"/>
        <v>0</v>
      </c>
      <c r="S97" s="74">
        <f t="shared" si="62"/>
        <v>0</v>
      </c>
      <c r="T97" s="74">
        <f>+SUM(T95:T96)</f>
        <v>12359.920016</v>
      </c>
      <c r="U97" s="74">
        <f>+SUM(U95:U96)</f>
        <v>11959.920016</v>
      </c>
    </row>
    <row r="98" spans="1:21" s="72" customFormat="1" x14ac:dyDescent="0.25">
      <c r="A98" s="36"/>
      <c r="B98" s="63"/>
      <c r="C98" s="73"/>
      <c r="D98" s="13"/>
      <c r="E98" s="6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1:21" s="72" customFormat="1" ht="12" customHeight="1" x14ac:dyDescent="0.25">
      <c r="A99" s="195" t="s">
        <v>203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7"/>
    </row>
    <row r="100" spans="1:21" s="72" customFormat="1" ht="24" x14ac:dyDescent="0.25">
      <c r="A100" s="32" t="s">
        <v>57</v>
      </c>
      <c r="B100" s="32" t="s">
        <v>13</v>
      </c>
      <c r="C100" s="32" t="s">
        <v>68</v>
      </c>
      <c r="D100" s="32" t="s">
        <v>21</v>
      </c>
      <c r="E100" s="32" t="s">
        <v>15</v>
      </c>
      <c r="F100" s="32" t="s">
        <v>14</v>
      </c>
      <c r="G100" s="32" t="s">
        <v>54</v>
      </c>
      <c r="H100" s="32" t="s">
        <v>60</v>
      </c>
      <c r="I100" s="49" t="s">
        <v>160</v>
      </c>
      <c r="J100" s="49" t="s">
        <v>161</v>
      </c>
      <c r="K100" s="49" t="s">
        <v>162</v>
      </c>
      <c r="L100" s="49" t="s">
        <v>163</v>
      </c>
      <c r="M100" s="32" t="s">
        <v>164</v>
      </c>
      <c r="N100" s="32" t="s">
        <v>55</v>
      </c>
      <c r="O100" s="32" t="s">
        <v>56</v>
      </c>
      <c r="P100" s="32" t="s">
        <v>16</v>
      </c>
      <c r="Q100" s="32" t="s">
        <v>242</v>
      </c>
      <c r="R100" s="32" t="s">
        <v>59</v>
      </c>
      <c r="S100" s="32" t="s">
        <v>66</v>
      </c>
      <c r="T100" s="32" t="s">
        <v>64</v>
      </c>
      <c r="U100" s="32" t="s">
        <v>65</v>
      </c>
    </row>
    <row r="101" spans="1:21" s="72" customFormat="1" x14ac:dyDescent="0.25">
      <c r="A101" s="40">
        <v>47</v>
      </c>
      <c r="B101" s="67" t="s">
        <v>182</v>
      </c>
      <c r="C101" s="67" t="s">
        <v>420</v>
      </c>
      <c r="D101" s="12">
        <v>15</v>
      </c>
      <c r="E101" s="69">
        <v>661.33</v>
      </c>
      <c r="F101" s="69">
        <f>D101*E101</f>
        <v>9919.9500000000007</v>
      </c>
      <c r="G101" s="52"/>
      <c r="H101" s="52"/>
      <c r="I101" s="69">
        <v>5081</v>
      </c>
      <c r="J101" s="70">
        <f>+F101-I101</f>
        <v>4838.9500000000007</v>
      </c>
      <c r="K101" s="71">
        <v>0.21360000000000001</v>
      </c>
      <c r="L101" s="69">
        <f>(F101-5081.01)*21.36%</f>
        <v>1033.5975840000001</v>
      </c>
      <c r="M101" s="69">
        <v>538.20000000000005</v>
      </c>
      <c r="N101" s="155">
        <f>L101+M101</f>
        <v>1571.7975840000001</v>
      </c>
      <c r="O101" s="69">
        <f>VLOOKUP($F$95,Tabsub,3)</f>
        <v>0</v>
      </c>
      <c r="P101" s="52"/>
      <c r="Q101" s="52"/>
      <c r="R101" s="52"/>
      <c r="S101" s="52"/>
      <c r="T101" s="70">
        <f>F101+G101+H101-N101+O101-P101-Q101-R101-S101</f>
        <v>8348.1524160000008</v>
      </c>
      <c r="U101" s="70">
        <f>T101-G101</f>
        <v>8348.1524160000008</v>
      </c>
    </row>
    <row r="102" spans="1:21" s="72" customFormat="1" x14ac:dyDescent="0.25">
      <c r="A102" s="33">
        <v>125</v>
      </c>
      <c r="B102" s="149" t="s">
        <v>395</v>
      </c>
      <c r="C102" s="67" t="s">
        <v>283</v>
      </c>
      <c r="D102" s="12">
        <v>15</v>
      </c>
      <c r="E102" s="69">
        <v>312.26</v>
      </c>
      <c r="F102" s="69">
        <f>D102*E102</f>
        <v>4683.8999999999996</v>
      </c>
      <c r="G102" s="69">
        <v>400</v>
      </c>
      <c r="H102" s="52"/>
      <c r="I102" s="69">
        <f>VLOOKUP($F$95,Tabisr,1)</f>
        <v>5925.91</v>
      </c>
      <c r="J102" s="70">
        <f>+F102-I102</f>
        <v>-1242.0100000000002</v>
      </c>
      <c r="K102" s="71">
        <f>VLOOKUP($F$95,Tabisr,4)</f>
        <v>0.21360000000000001</v>
      </c>
      <c r="L102" s="69">
        <f>(F102-4244.01)*17.92%</f>
        <v>78.828287999999901</v>
      </c>
      <c r="M102" s="69">
        <v>388.05</v>
      </c>
      <c r="N102" s="69">
        <f>L102+M102</f>
        <v>466.87828799999988</v>
      </c>
      <c r="O102" s="69"/>
      <c r="P102" s="69"/>
      <c r="Q102" s="69"/>
      <c r="R102" s="69"/>
      <c r="S102" s="69"/>
      <c r="T102" s="70">
        <f>F102+G102+H102-N102+O102-P102-Q102-R102-S102</f>
        <v>4617.0217119999998</v>
      </c>
      <c r="U102" s="70">
        <f>T102-G102</f>
        <v>4217.0217119999998</v>
      </c>
    </row>
    <row r="103" spans="1:21" s="72" customFormat="1" x14ac:dyDescent="0.25">
      <c r="A103" s="33">
        <v>48</v>
      </c>
      <c r="B103" s="67" t="s">
        <v>106</v>
      </c>
      <c r="C103" s="68" t="s">
        <v>82</v>
      </c>
      <c r="D103" s="12">
        <v>15</v>
      </c>
      <c r="E103" s="69">
        <v>312.26</v>
      </c>
      <c r="F103" s="69">
        <f>D103*E103</f>
        <v>4683.8999999999996</v>
      </c>
      <c r="G103" s="69">
        <v>400</v>
      </c>
      <c r="H103" s="52"/>
      <c r="I103" s="69">
        <f>VLOOKUP($F$95,Tabisr,1)</f>
        <v>5925.91</v>
      </c>
      <c r="J103" s="70">
        <f>+F103-I103</f>
        <v>-1242.0100000000002</v>
      </c>
      <c r="K103" s="71">
        <f>VLOOKUP($F$95,Tabisr,4)</f>
        <v>0.21360000000000001</v>
      </c>
      <c r="L103" s="69">
        <f>(F103-4244.01)*17.92%</f>
        <v>78.828287999999901</v>
      </c>
      <c r="M103" s="69">
        <v>388.05</v>
      </c>
      <c r="N103" s="69">
        <f>L103+M103</f>
        <v>466.87828799999988</v>
      </c>
      <c r="O103" s="69"/>
      <c r="P103" s="69"/>
      <c r="Q103" s="69"/>
      <c r="R103" s="69"/>
      <c r="S103" s="69"/>
      <c r="T103" s="70">
        <f>F103+G103+H103-N103+O103-P103-Q103-R103-S103</f>
        <v>4617.0217119999998</v>
      </c>
      <c r="U103" s="70">
        <f>T103-G103</f>
        <v>4217.0217119999998</v>
      </c>
    </row>
    <row r="104" spans="1:21" s="72" customFormat="1" x14ac:dyDescent="0.25">
      <c r="A104" s="36"/>
      <c r="B104" s="80"/>
      <c r="C104" s="81"/>
      <c r="D104" s="82"/>
      <c r="E104" s="82"/>
      <c r="F104" s="83">
        <f>+SUM(F101:F103)</f>
        <v>19287.75</v>
      </c>
      <c r="G104" s="83">
        <f>+SUM(G101:G103)</f>
        <v>800</v>
      </c>
      <c r="H104" s="83">
        <f>+SUM(H101:H103)</f>
        <v>0</v>
      </c>
      <c r="I104" s="83">
        <f t="shared" ref="I104:R104" si="63">+SUM(I101:I103)</f>
        <v>16932.82</v>
      </c>
      <c r="J104" s="83">
        <f t="shared" si="63"/>
        <v>2354.9300000000003</v>
      </c>
      <c r="K104" s="83">
        <f t="shared" si="63"/>
        <v>0.64080000000000004</v>
      </c>
      <c r="L104" s="83">
        <f t="shared" si="63"/>
        <v>1191.25416</v>
      </c>
      <c r="M104" s="83">
        <f t="shared" si="63"/>
        <v>1314.3</v>
      </c>
      <c r="N104" s="83">
        <f>+SUM(N101:N103)</f>
        <v>2505.5541599999997</v>
      </c>
      <c r="O104" s="83">
        <f t="shared" si="63"/>
        <v>0</v>
      </c>
      <c r="P104" s="83">
        <f t="shared" si="63"/>
        <v>0</v>
      </c>
      <c r="Q104" s="83">
        <f t="shared" si="63"/>
        <v>0</v>
      </c>
      <c r="R104" s="83">
        <f t="shared" si="63"/>
        <v>0</v>
      </c>
      <c r="S104" s="83">
        <f>+SUM(S101:S103)</f>
        <v>0</v>
      </c>
      <c r="T104" s="83">
        <f>+SUM(T101:T103)</f>
        <v>17582.19584</v>
      </c>
      <c r="U104" s="83">
        <f>+SUM(U101:U103)</f>
        <v>16782.19584</v>
      </c>
    </row>
    <row r="105" spans="1:21" s="72" customFormat="1" ht="23.45" customHeight="1" x14ac:dyDescent="0.25">
      <c r="A105" s="36"/>
      <c r="B105" s="80"/>
      <c r="C105" s="81"/>
      <c r="D105" s="82"/>
      <c r="E105" s="82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</row>
    <row r="106" spans="1:21" s="72" customFormat="1" x14ac:dyDescent="0.25">
      <c r="A106" s="192" t="s">
        <v>286</v>
      </c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4"/>
    </row>
    <row r="107" spans="1:21" s="72" customFormat="1" ht="24" x14ac:dyDescent="0.25">
      <c r="A107" s="32" t="s">
        <v>57</v>
      </c>
      <c r="B107" s="32" t="s">
        <v>13</v>
      </c>
      <c r="C107" s="32" t="s">
        <v>68</v>
      </c>
      <c r="D107" s="32" t="s">
        <v>21</v>
      </c>
      <c r="E107" s="32" t="s">
        <v>15</v>
      </c>
      <c r="F107" s="32" t="s">
        <v>14</v>
      </c>
      <c r="G107" s="32" t="s">
        <v>54</v>
      </c>
      <c r="H107" s="32" t="s">
        <v>60</v>
      </c>
      <c r="I107" s="49" t="s">
        <v>160</v>
      </c>
      <c r="J107" s="49" t="s">
        <v>161</v>
      </c>
      <c r="K107" s="49" t="s">
        <v>162</v>
      </c>
      <c r="L107" s="49" t="s">
        <v>163</v>
      </c>
      <c r="M107" s="32" t="s">
        <v>164</v>
      </c>
      <c r="N107" s="32" t="s">
        <v>55</v>
      </c>
      <c r="O107" s="32" t="s">
        <v>56</v>
      </c>
      <c r="P107" s="32" t="s">
        <v>16</v>
      </c>
      <c r="Q107" s="32" t="s">
        <v>242</v>
      </c>
      <c r="R107" s="32" t="s">
        <v>59</v>
      </c>
      <c r="S107" s="32" t="s">
        <v>66</v>
      </c>
      <c r="T107" s="32" t="s">
        <v>64</v>
      </c>
      <c r="U107" s="32" t="s">
        <v>65</v>
      </c>
    </row>
    <row r="108" spans="1:21" s="75" customFormat="1" x14ac:dyDescent="0.25">
      <c r="A108" s="33">
        <v>49</v>
      </c>
      <c r="B108" s="67" t="s">
        <v>114</v>
      </c>
      <c r="C108" s="67" t="s">
        <v>281</v>
      </c>
      <c r="D108" s="12">
        <v>15</v>
      </c>
      <c r="E108" s="69">
        <v>661.33</v>
      </c>
      <c r="F108" s="69">
        <f>D108*E108</f>
        <v>9919.9500000000007</v>
      </c>
      <c r="G108" s="52"/>
      <c r="H108" s="52"/>
      <c r="I108" s="69">
        <v>5081</v>
      </c>
      <c r="J108" s="70">
        <f>+F108-I108</f>
        <v>4838.9500000000007</v>
      </c>
      <c r="K108" s="71">
        <v>0.21360000000000001</v>
      </c>
      <c r="L108" s="69">
        <f>(F108-5081.01)*21.36%</f>
        <v>1033.5975840000001</v>
      </c>
      <c r="M108" s="69">
        <v>538.20000000000005</v>
      </c>
      <c r="N108" s="69">
        <f>L108+M108</f>
        <v>1571.7975840000001</v>
      </c>
      <c r="O108" s="69">
        <f>VLOOKUP($F$95,Tabsub,3)</f>
        <v>0</v>
      </c>
      <c r="P108" s="52"/>
      <c r="Q108" s="52"/>
      <c r="R108" s="52"/>
      <c r="S108" s="52"/>
      <c r="T108" s="70">
        <f>F108+G108+H108-N108+O108-P108-Q108-R108-S108</f>
        <v>8348.1524160000008</v>
      </c>
      <c r="U108" s="70">
        <f>T108-G108</f>
        <v>8348.1524160000008</v>
      </c>
    </row>
    <row r="109" spans="1:21" s="75" customFormat="1" x14ac:dyDescent="0.25">
      <c r="A109" s="33">
        <v>275</v>
      </c>
      <c r="B109" s="67" t="s">
        <v>233</v>
      </c>
      <c r="C109" s="67" t="s">
        <v>494</v>
      </c>
      <c r="D109" s="12">
        <v>15</v>
      </c>
      <c r="E109" s="69">
        <v>414.83</v>
      </c>
      <c r="F109" s="69">
        <f>D109*E109</f>
        <v>6222.45</v>
      </c>
      <c r="G109" s="69">
        <v>400</v>
      </c>
      <c r="H109" s="33"/>
      <c r="I109" s="69">
        <f>VLOOKUP($F$95,Tabisr,1)</f>
        <v>5925.91</v>
      </c>
      <c r="J109" s="70">
        <f>+F109-I109</f>
        <v>296.53999999999996</v>
      </c>
      <c r="K109" s="71">
        <f>VLOOKUP($F$95,Tabisr,4)</f>
        <v>0.21360000000000001</v>
      </c>
      <c r="L109" s="69">
        <f>(F109-4244.01)*17.92%</f>
        <v>354.53644800000001</v>
      </c>
      <c r="M109" s="69">
        <v>388.05</v>
      </c>
      <c r="N109" s="69">
        <v>690.94</v>
      </c>
      <c r="O109" s="69"/>
      <c r="P109" s="33"/>
      <c r="Q109" s="33"/>
      <c r="R109" s="33"/>
      <c r="S109" s="37"/>
      <c r="T109" s="70">
        <f>F109+G109+H109-N109+O109-P109-Q109-R109-S109</f>
        <v>5931.51</v>
      </c>
      <c r="U109" s="70">
        <f>T109-G109</f>
        <v>5531.51</v>
      </c>
    </row>
    <row r="110" spans="1:21" s="72" customFormat="1" x14ac:dyDescent="0.25">
      <c r="A110" s="33">
        <v>50</v>
      </c>
      <c r="B110" s="67" t="s">
        <v>168</v>
      </c>
      <c r="C110" s="67" t="s">
        <v>113</v>
      </c>
      <c r="D110" s="12">
        <v>15</v>
      </c>
      <c r="E110" s="69">
        <v>414.83</v>
      </c>
      <c r="F110" s="69">
        <f>D110*E110</f>
        <v>6222.45</v>
      </c>
      <c r="G110" s="69">
        <v>400</v>
      </c>
      <c r="H110" s="33"/>
      <c r="I110" s="69">
        <f>VLOOKUP($F$95,Tabisr,1)</f>
        <v>5925.91</v>
      </c>
      <c r="J110" s="70">
        <f>+F110-I110</f>
        <v>296.53999999999996</v>
      </c>
      <c r="K110" s="71">
        <f>VLOOKUP($F$95,Tabisr,4)</f>
        <v>0.21360000000000001</v>
      </c>
      <c r="L110" s="69">
        <f>(F110-4244.01)*17.92%</f>
        <v>354.53644800000001</v>
      </c>
      <c r="M110" s="69">
        <v>388.05</v>
      </c>
      <c r="N110" s="69">
        <v>690.94</v>
      </c>
      <c r="O110" s="69"/>
      <c r="P110" s="33"/>
      <c r="Q110" s="33"/>
      <c r="R110" s="33"/>
      <c r="S110" s="37"/>
      <c r="T110" s="70">
        <f>F110+G110+H110-N110+O110-P110-Q110-R110-S110</f>
        <v>5931.51</v>
      </c>
      <c r="U110" s="70">
        <f>T110-G110</f>
        <v>5531.51</v>
      </c>
    </row>
    <row r="111" spans="1:21" s="72" customFormat="1" x14ac:dyDescent="0.25">
      <c r="A111" s="33">
        <v>51</v>
      </c>
      <c r="B111" s="67" t="s">
        <v>17</v>
      </c>
      <c r="C111" s="68" t="s">
        <v>285</v>
      </c>
      <c r="D111" s="12">
        <v>15</v>
      </c>
      <c r="E111" s="69">
        <v>312.26</v>
      </c>
      <c r="F111" s="69">
        <f>D111*E111</f>
        <v>4683.8999999999996</v>
      </c>
      <c r="G111" s="69">
        <v>400</v>
      </c>
      <c r="H111" s="33"/>
      <c r="I111" s="69">
        <f>VLOOKUP($F$95,Tabisr,1)</f>
        <v>5925.91</v>
      </c>
      <c r="J111" s="70">
        <f>+F111-I111</f>
        <v>-1242.0100000000002</v>
      </c>
      <c r="K111" s="71">
        <f>VLOOKUP($F$95,Tabisr,4)</f>
        <v>0.21360000000000001</v>
      </c>
      <c r="L111" s="69">
        <f>(F111-4244.01)*17.92%</f>
        <v>78.828287999999901</v>
      </c>
      <c r="M111" s="69">
        <v>388.05</v>
      </c>
      <c r="N111" s="69">
        <f>L111+M111</f>
        <v>466.87828799999988</v>
      </c>
      <c r="O111" s="69"/>
      <c r="P111" s="33"/>
      <c r="Q111" s="248">
        <v>1120</v>
      </c>
      <c r="R111" s="33"/>
      <c r="S111" s="37"/>
      <c r="T111" s="70">
        <f>F111+G111+H111-N111+O111-P111-Q111-R111-S111</f>
        <v>3497.0217119999998</v>
      </c>
      <c r="U111" s="70">
        <f>T111-G111</f>
        <v>3097.0217119999998</v>
      </c>
    </row>
    <row r="112" spans="1:21" s="72" customFormat="1" ht="12" customHeight="1" x14ac:dyDescent="0.25">
      <c r="A112" s="36"/>
      <c r="B112" s="80"/>
      <c r="C112" s="81"/>
      <c r="D112" s="82"/>
      <c r="E112" s="82"/>
      <c r="F112" s="83">
        <f>+SUM(F108:F111)</f>
        <v>27048.75</v>
      </c>
      <c r="G112" s="83">
        <f>+SUM(G108:G111)</f>
        <v>1200</v>
      </c>
      <c r="H112" s="83">
        <f t="shared" ref="H112:P112" si="64">+SUM(H110:H111)</f>
        <v>0</v>
      </c>
      <c r="I112" s="83">
        <f t="shared" si="64"/>
        <v>11851.82</v>
      </c>
      <c r="J112" s="83">
        <f t="shared" si="64"/>
        <v>-945.47000000000025</v>
      </c>
      <c r="K112" s="83">
        <f t="shared" si="64"/>
        <v>0.42720000000000002</v>
      </c>
      <c r="L112" s="83">
        <f t="shared" si="64"/>
        <v>433.36473599999988</v>
      </c>
      <c r="M112" s="83">
        <f t="shared" si="64"/>
        <v>776.1</v>
      </c>
      <c r="N112" s="83">
        <f>+SUM(N108:N111)</f>
        <v>3420.5558720000004</v>
      </c>
      <c r="O112" s="83">
        <f t="shared" si="64"/>
        <v>0</v>
      </c>
      <c r="P112" s="83">
        <f t="shared" si="64"/>
        <v>0</v>
      </c>
      <c r="Q112" s="83">
        <f>SUM(Q108:Q111)</f>
        <v>1120</v>
      </c>
      <c r="R112" s="83">
        <f>+SUM(R108:R111)</f>
        <v>0</v>
      </c>
      <c r="S112" s="83">
        <f>+SUM(S108:S111)</f>
        <v>0</v>
      </c>
      <c r="T112" s="83">
        <f>+SUM(T108:T111)</f>
        <v>23708.194128000003</v>
      </c>
      <c r="U112" s="83">
        <f>+SUM(U108:U111)</f>
        <v>22508.194128000003</v>
      </c>
    </row>
    <row r="113" spans="1:21" s="72" customFormat="1" ht="56.45" customHeight="1" x14ac:dyDescent="0.25">
      <c r="A113" s="36"/>
      <c r="B113" s="80"/>
      <c r="C113" s="81"/>
      <c r="D113" s="82"/>
      <c r="E113" s="82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</row>
    <row r="114" spans="1:21" s="72" customFormat="1" x14ac:dyDescent="0.25">
      <c r="A114" s="192" t="s">
        <v>204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4"/>
    </row>
    <row r="115" spans="1:21" s="72" customFormat="1" ht="24" x14ac:dyDescent="0.25">
      <c r="A115" s="32" t="s">
        <v>57</v>
      </c>
      <c r="B115" s="32" t="s">
        <v>13</v>
      </c>
      <c r="C115" s="32" t="s">
        <v>68</v>
      </c>
      <c r="D115" s="32" t="s">
        <v>21</v>
      </c>
      <c r="E115" s="32" t="s">
        <v>15</v>
      </c>
      <c r="F115" s="32" t="s">
        <v>14</v>
      </c>
      <c r="G115" s="32" t="s">
        <v>54</v>
      </c>
      <c r="H115" s="32" t="s">
        <v>60</v>
      </c>
      <c r="I115" s="49" t="s">
        <v>160</v>
      </c>
      <c r="J115" s="49" t="s">
        <v>161</v>
      </c>
      <c r="K115" s="49" t="s">
        <v>162</v>
      </c>
      <c r="L115" s="49" t="s">
        <v>163</v>
      </c>
      <c r="M115" s="32" t="s">
        <v>164</v>
      </c>
      <c r="N115" s="32" t="s">
        <v>55</v>
      </c>
      <c r="O115" s="32" t="s">
        <v>56</v>
      </c>
      <c r="P115" s="32" t="s">
        <v>16</v>
      </c>
      <c r="Q115" s="32" t="s">
        <v>242</v>
      </c>
      <c r="R115" s="32" t="s">
        <v>59</v>
      </c>
      <c r="S115" s="32" t="s">
        <v>66</v>
      </c>
      <c r="T115" s="32" t="s">
        <v>64</v>
      </c>
      <c r="U115" s="32" t="s">
        <v>65</v>
      </c>
    </row>
    <row r="116" spans="1:21" s="72" customFormat="1" x14ac:dyDescent="0.25">
      <c r="A116" s="33">
        <v>52</v>
      </c>
      <c r="B116" s="67" t="s">
        <v>172</v>
      </c>
      <c r="C116" s="67" t="s">
        <v>75</v>
      </c>
      <c r="D116" s="12">
        <v>15</v>
      </c>
      <c r="E116" s="69">
        <v>312.26</v>
      </c>
      <c r="F116" s="69">
        <f t="shared" ref="F116:F121" si="65">D116*E116</f>
        <v>4683.8999999999996</v>
      </c>
      <c r="G116" s="52">
        <v>400</v>
      </c>
      <c r="H116" s="52"/>
      <c r="I116" s="69">
        <f>VLOOKUP($F$95,Tabisr,1)</f>
        <v>5925.91</v>
      </c>
      <c r="J116" s="70">
        <f>+F116-I116</f>
        <v>-1242.0100000000002</v>
      </c>
      <c r="K116" s="71">
        <f>VLOOKUP($F$95,Tabisr,4)</f>
        <v>0.21360000000000001</v>
      </c>
      <c r="L116" s="69">
        <f>(F116-4244.01)*17.92%</f>
        <v>78.828287999999901</v>
      </c>
      <c r="M116" s="69">
        <v>388.05</v>
      </c>
      <c r="N116" s="69">
        <f>L116+M116</f>
        <v>466.87828799999988</v>
      </c>
      <c r="O116" s="69">
        <f>VLOOKUP($F$95,Tabsub,3)</f>
        <v>0</v>
      </c>
      <c r="P116" s="52"/>
      <c r="Q116" s="52"/>
      <c r="R116" s="52"/>
      <c r="S116" s="52"/>
      <c r="T116" s="70">
        <f t="shared" ref="T116:T121" si="66">F116+G116+H116-N116+O116-P116-Q116-R116-S116</f>
        <v>4617.0217119999998</v>
      </c>
      <c r="U116" s="70">
        <f t="shared" ref="U116:U121" si="67">T116-G116</f>
        <v>4217.0217119999998</v>
      </c>
    </row>
    <row r="117" spans="1:21" s="72" customFormat="1" x14ac:dyDescent="0.25">
      <c r="A117" s="33">
        <v>53</v>
      </c>
      <c r="B117" s="67" t="s">
        <v>219</v>
      </c>
      <c r="C117" s="67" t="s">
        <v>70</v>
      </c>
      <c r="D117" s="12">
        <v>15</v>
      </c>
      <c r="E117" s="12">
        <v>263.56</v>
      </c>
      <c r="F117" s="69">
        <f t="shared" si="65"/>
        <v>3953.4</v>
      </c>
      <c r="G117" s="69">
        <v>400</v>
      </c>
      <c r="H117" s="33"/>
      <c r="I117" s="69">
        <f>VLOOKUP($F$27,Tabisr,1)</f>
        <v>2422.81</v>
      </c>
      <c r="J117" s="70">
        <f>+F117-I117</f>
        <v>1530.5900000000001</v>
      </c>
      <c r="K117" s="71">
        <f>VLOOKUP($F$27,Tabisr,4)</f>
        <v>0.10879999999999999</v>
      </c>
      <c r="L117" s="69">
        <f>(F117-3651.01)*16%</f>
        <v>48.382399999999983</v>
      </c>
      <c r="M117" s="69">
        <v>293.25</v>
      </c>
      <c r="N117" s="69">
        <f>M117+L117</f>
        <v>341.63239999999996</v>
      </c>
      <c r="O117" s="69"/>
      <c r="P117" s="69"/>
      <c r="Q117" s="69"/>
      <c r="R117" s="69"/>
      <c r="S117" s="69"/>
      <c r="T117" s="70">
        <f t="shared" si="66"/>
        <v>4011.7675999999997</v>
      </c>
      <c r="U117" s="70">
        <f t="shared" si="67"/>
        <v>3611.7675999999997</v>
      </c>
    </row>
    <row r="118" spans="1:21" s="75" customFormat="1" x14ac:dyDescent="0.25">
      <c r="A118" s="33">
        <v>54</v>
      </c>
      <c r="B118" s="67" t="s">
        <v>121</v>
      </c>
      <c r="C118" s="67" t="s">
        <v>93</v>
      </c>
      <c r="D118" s="12">
        <v>15</v>
      </c>
      <c r="E118" s="12">
        <v>263.56</v>
      </c>
      <c r="F118" s="69">
        <f t="shared" si="65"/>
        <v>3953.4</v>
      </c>
      <c r="G118" s="69">
        <v>400</v>
      </c>
      <c r="H118" s="69"/>
      <c r="I118" s="69">
        <f>VLOOKUP($F$27,Tabisr,1)</f>
        <v>2422.81</v>
      </c>
      <c r="J118" s="70">
        <f>+F118-I118</f>
        <v>1530.5900000000001</v>
      </c>
      <c r="K118" s="71">
        <f>VLOOKUP($F$27,Tabisr,4)</f>
        <v>0.10879999999999999</v>
      </c>
      <c r="L118" s="69">
        <f>(F118-3651.01)*16%</f>
        <v>48.382399999999983</v>
      </c>
      <c r="M118" s="69">
        <v>293.25</v>
      </c>
      <c r="N118" s="69">
        <f>M118+L118</f>
        <v>341.63239999999996</v>
      </c>
      <c r="O118" s="69"/>
      <c r="P118" s="69"/>
      <c r="Q118" s="69"/>
      <c r="R118" s="69"/>
      <c r="S118" s="69"/>
      <c r="T118" s="70">
        <f t="shared" si="66"/>
        <v>4011.7675999999997</v>
      </c>
      <c r="U118" s="70">
        <f t="shared" si="67"/>
        <v>3611.7675999999997</v>
      </c>
    </row>
    <row r="119" spans="1:21" s="72" customFormat="1" x14ac:dyDescent="0.25">
      <c r="A119" s="33">
        <v>55</v>
      </c>
      <c r="B119" s="67" t="s">
        <v>18</v>
      </c>
      <c r="C119" s="68" t="s">
        <v>93</v>
      </c>
      <c r="D119" s="12">
        <v>15</v>
      </c>
      <c r="E119" s="12">
        <v>263.56</v>
      </c>
      <c r="F119" s="69">
        <f t="shared" si="65"/>
        <v>3953.4</v>
      </c>
      <c r="G119" s="69">
        <v>400</v>
      </c>
      <c r="H119" s="69"/>
      <c r="I119" s="69">
        <f>VLOOKUP($F$27,Tabisr,1)</f>
        <v>2422.81</v>
      </c>
      <c r="J119" s="70">
        <f>+F119-I119</f>
        <v>1530.5900000000001</v>
      </c>
      <c r="K119" s="71">
        <f>VLOOKUP($F$27,Tabisr,4)</f>
        <v>0.10879999999999999</v>
      </c>
      <c r="L119" s="69">
        <f>(F119-3651.01)*16%</f>
        <v>48.382399999999983</v>
      </c>
      <c r="M119" s="69">
        <v>293.25</v>
      </c>
      <c r="N119" s="69">
        <f>M119+L119</f>
        <v>341.63239999999996</v>
      </c>
      <c r="O119" s="69"/>
      <c r="P119" s="69"/>
      <c r="Q119" s="69"/>
      <c r="R119" s="69"/>
      <c r="S119" s="69"/>
      <c r="T119" s="70">
        <f t="shared" si="66"/>
        <v>4011.7675999999997</v>
      </c>
      <c r="U119" s="70">
        <f t="shared" si="67"/>
        <v>3611.7675999999997</v>
      </c>
    </row>
    <row r="120" spans="1:21" s="72" customFormat="1" x14ac:dyDescent="0.25">
      <c r="A120" s="33">
        <v>56</v>
      </c>
      <c r="B120" s="67" t="s">
        <v>12</v>
      </c>
      <c r="C120" s="68">
        <v>375013008919251</v>
      </c>
      <c r="D120" s="12">
        <v>15</v>
      </c>
      <c r="E120" s="69">
        <v>263.56</v>
      </c>
      <c r="F120" s="69">
        <f t="shared" si="65"/>
        <v>3953.4</v>
      </c>
      <c r="G120" s="69">
        <v>400</v>
      </c>
      <c r="H120" s="69"/>
      <c r="I120" s="69">
        <f>VLOOKUP($F$315,Tabisr,1)</f>
        <v>2422.81</v>
      </c>
      <c r="J120" s="70">
        <f>+F120-I120</f>
        <v>1530.5900000000001</v>
      </c>
      <c r="K120" s="71">
        <f>VLOOKUP($F$315,Tabisr,4)</f>
        <v>0.10879999999999999</v>
      </c>
      <c r="L120" s="69">
        <f>(F120-3651.01)*16%</f>
        <v>48.382399999999983</v>
      </c>
      <c r="M120" s="69">
        <v>293.25</v>
      </c>
      <c r="N120" s="69">
        <f>M120+L120</f>
        <v>341.63239999999996</v>
      </c>
      <c r="O120" s="69"/>
      <c r="P120" s="249">
        <v>380</v>
      </c>
      <c r="Q120" s="134"/>
      <c r="R120" s="134"/>
      <c r="S120" s="134"/>
      <c r="T120" s="70">
        <f t="shared" si="66"/>
        <v>3631.7675999999997</v>
      </c>
      <c r="U120" s="70">
        <f t="shared" si="67"/>
        <v>3231.7675999999997</v>
      </c>
    </row>
    <row r="121" spans="1:21" s="72" customFormat="1" x14ac:dyDescent="0.25">
      <c r="A121" s="33">
        <v>57</v>
      </c>
      <c r="B121" s="67" t="s">
        <v>10</v>
      </c>
      <c r="C121" s="67" t="s">
        <v>77</v>
      </c>
      <c r="D121" s="12">
        <v>15</v>
      </c>
      <c r="E121" s="12">
        <v>220.28</v>
      </c>
      <c r="F121" s="69">
        <f t="shared" si="65"/>
        <v>3304.2</v>
      </c>
      <c r="G121" s="69">
        <v>400</v>
      </c>
      <c r="H121" s="33"/>
      <c r="I121" s="69">
        <v>2077.5100000000002</v>
      </c>
      <c r="J121" s="70">
        <v>121.95</v>
      </c>
      <c r="K121" s="71">
        <v>0.10879999999999999</v>
      </c>
      <c r="L121" s="69">
        <f>(F121-2077.51)*10.88%</f>
        <v>133.46387199999995</v>
      </c>
      <c r="M121" s="69">
        <v>121.95</v>
      </c>
      <c r="N121" s="69">
        <f>L121+M121</f>
        <v>255.41387199999997</v>
      </c>
      <c r="O121" s="69">
        <v>125.1</v>
      </c>
      <c r="P121" s="69"/>
      <c r="Q121" s="69"/>
      <c r="R121" s="69"/>
      <c r="S121" s="69"/>
      <c r="T121" s="70">
        <f t="shared" si="66"/>
        <v>3573.8861279999996</v>
      </c>
      <c r="U121" s="70">
        <f t="shared" si="67"/>
        <v>3173.8861279999996</v>
      </c>
    </row>
    <row r="122" spans="1:21" s="72" customFormat="1" x14ac:dyDescent="0.25">
      <c r="A122" s="36"/>
      <c r="B122" s="80"/>
      <c r="C122" s="81"/>
      <c r="D122" s="82"/>
      <c r="E122" s="82"/>
      <c r="F122" s="83">
        <f>+SUM(F116:F121)</f>
        <v>23801.7</v>
      </c>
      <c r="G122" s="83">
        <f>+SUM(G116:G121)</f>
        <v>2400</v>
      </c>
      <c r="H122" s="83">
        <f t="shared" ref="H122:M122" si="68">+SUM(H116:H121)</f>
        <v>0</v>
      </c>
      <c r="I122" s="83">
        <f t="shared" si="68"/>
        <v>17694.659999999996</v>
      </c>
      <c r="J122" s="83">
        <f t="shared" si="68"/>
        <v>5002.3</v>
      </c>
      <c r="K122" s="83">
        <f t="shared" si="68"/>
        <v>0.75760000000000005</v>
      </c>
      <c r="L122" s="83">
        <f t="shared" si="68"/>
        <v>405.82175999999981</v>
      </c>
      <c r="M122" s="83">
        <f t="shared" si="68"/>
        <v>1683</v>
      </c>
      <c r="N122" s="83">
        <f>+SUM(N116:N121)</f>
        <v>2088.8217599999998</v>
      </c>
      <c r="O122" s="83">
        <f>+SUM(O116:O121)</f>
        <v>125.1</v>
      </c>
      <c r="P122" s="83">
        <f>+SUM(P116:P121)</f>
        <v>380</v>
      </c>
      <c r="Q122" s="83">
        <f>+SUM(Q116:Q121)</f>
        <v>0</v>
      </c>
      <c r="R122" s="83">
        <f t="shared" ref="R122" si="69">+SUM(R116:R121)</f>
        <v>0</v>
      </c>
      <c r="S122" s="83">
        <f>+SUM(S116:S121)</f>
        <v>0</v>
      </c>
      <c r="T122" s="83">
        <f>+SUM(T116:T121)</f>
        <v>23857.978239999997</v>
      </c>
      <c r="U122" s="83">
        <f>+SUM(U116:U121)</f>
        <v>21457.978239999997</v>
      </c>
    </row>
    <row r="123" spans="1:21" s="72" customFormat="1" x14ac:dyDescent="0.25">
      <c r="A123" s="36"/>
      <c r="B123" s="80"/>
      <c r="C123" s="81"/>
      <c r="D123" s="82"/>
      <c r="E123" s="82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</row>
    <row r="124" spans="1:21" s="72" customFormat="1" x14ac:dyDescent="0.25">
      <c r="A124" s="36"/>
      <c r="B124" s="80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1:21" s="72" customFormat="1" x14ac:dyDescent="0.25">
      <c r="A125" s="192" t="s">
        <v>205</v>
      </c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4"/>
    </row>
    <row r="126" spans="1:21" s="72" customFormat="1" ht="24" x14ac:dyDescent="0.25">
      <c r="A126" s="32" t="s">
        <v>57</v>
      </c>
      <c r="B126" s="32" t="s">
        <v>13</v>
      </c>
      <c r="C126" s="32" t="s">
        <v>68</v>
      </c>
      <c r="D126" s="32" t="s">
        <v>21</v>
      </c>
      <c r="E126" s="32" t="s">
        <v>15</v>
      </c>
      <c r="F126" s="32" t="s">
        <v>14</v>
      </c>
      <c r="G126" s="32" t="s">
        <v>54</v>
      </c>
      <c r="H126" s="32" t="s">
        <v>60</v>
      </c>
      <c r="I126" s="49" t="s">
        <v>160</v>
      </c>
      <c r="J126" s="49" t="s">
        <v>161</v>
      </c>
      <c r="K126" s="49" t="s">
        <v>162</v>
      </c>
      <c r="L126" s="49" t="s">
        <v>163</v>
      </c>
      <c r="M126" s="32" t="s">
        <v>164</v>
      </c>
      <c r="N126" s="32" t="s">
        <v>55</v>
      </c>
      <c r="O126" s="32" t="s">
        <v>56</v>
      </c>
      <c r="P126" s="32" t="s">
        <v>16</v>
      </c>
      <c r="Q126" s="32" t="s">
        <v>242</v>
      </c>
      <c r="R126" s="32" t="s">
        <v>59</v>
      </c>
      <c r="S126" s="32" t="s">
        <v>66</v>
      </c>
      <c r="T126" s="32" t="s">
        <v>64</v>
      </c>
      <c r="U126" s="32" t="s">
        <v>65</v>
      </c>
    </row>
    <row r="127" spans="1:21" s="72" customFormat="1" ht="24" customHeight="1" x14ac:dyDescent="0.25">
      <c r="A127" s="33">
        <v>58</v>
      </c>
      <c r="B127" s="67" t="s">
        <v>235</v>
      </c>
      <c r="C127" s="67" t="s">
        <v>229</v>
      </c>
      <c r="D127" s="12">
        <v>15</v>
      </c>
      <c r="E127" s="69">
        <v>661.33</v>
      </c>
      <c r="F127" s="69">
        <f t="shared" ref="F127:F138" si="70">D127*E127</f>
        <v>9919.9500000000007</v>
      </c>
      <c r="G127" s="52"/>
      <c r="H127" s="52"/>
      <c r="I127" s="69">
        <v>5081</v>
      </c>
      <c r="J127" s="70">
        <f t="shared" ref="J127:J138" si="71">+F127-I127</f>
        <v>4838.9500000000007</v>
      </c>
      <c r="K127" s="71">
        <v>0.21360000000000001</v>
      </c>
      <c r="L127" s="69">
        <f>(F127-5081.01)*21.36%</f>
        <v>1033.5975840000001</v>
      </c>
      <c r="M127" s="69">
        <v>538.20000000000005</v>
      </c>
      <c r="N127" s="69">
        <f>L127+M127</f>
        <v>1571.7975840000001</v>
      </c>
      <c r="O127" s="69"/>
      <c r="P127" s="52"/>
      <c r="Q127" s="52"/>
      <c r="R127" s="52"/>
      <c r="S127" s="52"/>
      <c r="T127" s="70">
        <f t="shared" ref="T127:T138" si="72">F127+G127+H127-N127+O127-P127-Q127-R127-S127</f>
        <v>8348.1524160000008</v>
      </c>
      <c r="U127" s="70">
        <f t="shared" ref="U127:U138" si="73">T127-G127</f>
        <v>8348.1524160000008</v>
      </c>
    </row>
    <row r="128" spans="1:21" s="75" customFormat="1" x14ac:dyDescent="0.25">
      <c r="A128" s="39">
        <v>59</v>
      </c>
      <c r="B128" s="78" t="s">
        <v>442</v>
      </c>
      <c r="C128" s="67" t="s">
        <v>256</v>
      </c>
      <c r="D128" s="12">
        <v>15</v>
      </c>
      <c r="E128" s="69">
        <v>414.83</v>
      </c>
      <c r="F128" s="69">
        <f>D128*E128</f>
        <v>6222.45</v>
      </c>
      <c r="G128" s="69">
        <v>400</v>
      </c>
      <c r="H128" s="33"/>
      <c r="I128" s="69">
        <f>VLOOKUP($F$95,Tabisr,1)</f>
        <v>5925.91</v>
      </c>
      <c r="J128" s="70">
        <f>+F128-I128</f>
        <v>296.53999999999996</v>
      </c>
      <c r="K128" s="71">
        <f>VLOOKUP($F$95,Tabisr,4)</f>
        <v>0.21360000000000001</v>
      </c>
      <c r="L128" s="69">
        <f>(F128-4244.01)*17.92%</f>
        <v>354.53644800000001</v>
      </c>
      <c r="M128" s="69">
        <v>388.05</v>
      </c>
      <c r="N128" s="69">
        <v>690.94</v>
      </c>
      <c r="O128" s="69"/>
      <c r="P128" s="33"/>
      <c r="Q128" s="33"/>
      <c r="R128" s="33"/>
      <c r="S128" s="37"/>
      <c r="T128" s="70">
        <f>F128+G128+H128-N128+O128-P128-Q128-R128-S128</f>
        <v>5931.51</v>
      </c>
      <c r="U128" s="70">
        <f>T128-G128</f>
        <v>5531.51</v>
      </c>
    </row>
    <row r="129" spans="1:21" s="72" customFormat="1" x14ac:dyDescent="0.25">
      <c r="A129" s="136">
        <v>30</v>
      </c>
      <c r="B129" s="67" t="s">
        <v>304</v>
      </c>
      <c r="C129" s="67" t="s">
        <v>70</v>
      </c>
      <c r="D129" s="12">
        <v>15</v>
      </c>
      <c r="E129" s="69">
        <v>263.56</v>
      </c>
      <c r="F129" s="69">
        <f>D129*E129</f>
        <v>3953.4</v>
      </c>
      <c r="G129" s="69">
        <v>400</v>
      </c>
      <c r="H129" s="69"/>
      <c r="I129" s="69">
        <v>4244.01</v>
      </c>
      <c r="J129" s="70">
        <f>+F129-I129</f>
        <v>-290.61000000000013</v>
      </c>
      <c r="K129" s="71">
        <v>0.1792</v>
      </c>
      <c r="L129" s="69">
        <f>(F129-3651.01)*16%</f>
        <v>48.382399999999983</v>
      </c>
      <c r="M129" s="69">
        <v>293.25</v>
      </c>
      <c r="N129" s="69">
        <f>M129+L129</f>
        <v>341.63239999999996</v>
      </c>
      <c r="O129" s="69"/>
      <c r="P129" s="69"/>
      <c r="Q129" s="247">
        <v>1100</v>
      </c>
      <c r="R129" s="69"/>
      <c r="S129" s="69"/>
      <c r="T129" s="70">
        <f>F129+G129+H129-N129+O129-P129-R129-S129</f>
        <v>4011.7675999999997</v>
      </c>
      <c r="U129" s="70">
        <f>T129-G129</f>
        <v>3611.7675999999997</v>
      </c>
    </row>
    <row r="130" spans="1:21" s="75" customFormat="1" x14ac:dyDescent="0.25">
      <c r="A130" s="40">
        <v>282</v>
      </c>
      <c r="B130" s="67" t="s">
        <v>248</v>
      </c>
      <c r="C130" s="75" t="s">
        <v>288</v>
      </c>
      <c r="D130" s="12">
        <v>15</v>
      </c>
      <c r="E130" s="144">
        <v>264.52</v>
      </c>
      <c r="F130" s="69">
        <f t="shared" ref="F130" si="74">D130*E130</f>
        <v>3967.7999999999997</v>
      </c>
      <c r="G130" s="52">
        <v>400</v>
      </c>
      <c r="H130" s="52"/>
      <c r="I130" s="69">
        <v>5083</v>
      </c>
      <c r="J130" s="70">
        <f t="shared" ref="J130" si="75">+F130-I130</f>
        <v>-1115.2000000000003</v>
      </c>
      <c r="K130" s="71">
        <v>2.2136</v>
      </c>
      <c r="L130" s="69">
        <f t="shared" ref="L130" si="76">(F130-5081.01)*21.36%</f>
        <v>-237.78165600000008</v>
      </c>
      <c r="M130" s="69">
        <v>540.20000000000005</v>
      </c>
      <c r="N130" s="69">
        <f t="shared" ref="N130" si="77">L130+M130</f>
        <v>302.41834399999993</v>
      </c>
      <c r="O130" s="69"/>
      <c r="P130" s="52"/>
      <c r="Q130" s="52"/>
      <c r="R130" s="52"/>
      <c r="S130" s="52"/>
      <c r="T130" s="70">
        <f t="shared" ref="T130" si="78">F130+G130+H130-N130+O130-P130-Q130-R130-S130</f>
        <v>4065.3816559999996</v>
      </c>
      <c r="U130" s="70">
        <f t="shared" ref="U130" si="79">T130-G130</f>
        <v>3665.3816559999996</v>
      </c>
    </row>
    <row r="131" spans="1:21" s="72" customFormat="1" x14ac:dyDescent="0.25">
      <c r="A131" s="33">
        <v>60</v>
      </c>
      <c r="B131" s="67" t="s">
        <v>300</v>
      </c>
      <c r="C131" s="67" t="s">
        <v>288</v>
      </c>
      <c r="D131" s="12">
        <v>15</v>
      </c>
      <c r="E131" s="144">
        <v>264.52</v>
      </c>
      <c r="F131" s="69">
        <f t="shared" si="70"/>
        <v>3967.7999999999997</v>
      </c>
      <c r="G131" s="52">
        <v>400</v>
      </c>
      <c r="H131" s="52"/>
      <c r="I131" s="69">
        <v>5083</v>
      </c>
      <c r="J131" s="70">
        <f t="shared" si="71"/>
        <v>-1115.2000000000003</v>
      </c>
      <c r="K131" s="71">
        <v>2.2136</v>
      </c>
      <c r="L131" s="69">
        <f t="shared" ref="L131:L138" si="80">(F131-5081.01)*21.36%</f>
        <v>-237.78165600000008</v>
      </c>
      <c r="M131" s="69">
        <v>540.20000000000005</v>
      </c>
      <c r="N131" s="69">
        <f t="shared" ref="N131:N135" si="81">L131+M131</f>
        <v>302.41834399999993</v>
      </c>
      <c r="O131" s="69"/>
      <c r="P131" s="52"/>
      <c r="Q131" s="52"/>
      <c r="R131" s="52"/>
      <c r="S131" s="52"/>
      <c r="T131" s="70">
        <f t="shared" si="72"/>
        <v>4065.3816559999996</v>
      </c>
      <c r="U131" s="70">
        <f t="shared" si="73"/>
        <v>3665.3816559999996</v>
      </c>
    </row>
    <row r="132" spans="1:21" s="72" customFormat="1" ht="15" customHeight="1" x14ac:dyDescent="0.25">
      <c r="A132" s="40">
        <v>61</v>
      </c>
      <c r="B132" s="67" t="s">
        <v>301</v>
      </c>
      <c r="C132" s="67" t="s">
        <v>302</v>
      </c>
      <c r="D132" s="12">
        <v>15</v>
      </c>
      <c r="E132" s="144">
        <v>264.52</v>
      </c>
      <c r="F132" s="69">
        <f t="shared" si="70"/>
        <v>3967.7999999999997</v>
      </c>
      <c r="G132" s="52">
        <v>400</v>
      </c>
      <c r="H132" s="52"/>
      <c r="I132" s="69">
        <v>5083</v>
      </c>
      <c r="J132" s="70">
        <f t="shared" si="71"/>
        <v>-1115.2000000000003</v>
      </c>
      <c r="K132" s="71">
        <v>2.2136</v>
      </c>
      <c r="L132" s="69">
        <f t="shared" si="80"/>
        <v>-237.78165600000008</v>
      </c>
      <c r="M132" s="69">
        <v>540.20000000000005</v>
      </c>
      <c r="N132" s="69">
        <f t="shared" si="81"/>
        <v>302.41834399999993</v>
      </c>
      <c r="O132" s="69"/>
      <c r="P132" s="52"/>
      <c r="Q132" s="247">
        <v>700</v>
      </c>
      <c r="R132" s="52"/>
      <c r="S132" s="52"/>
      <c r="T132" s="70">
        <f t="shared" si="72"/>
        <v>3365.3816559999996</v>
      </c>
      <c r="U132" s="70">
        <f t="shared" si="73"/>
        <v>2965.3816559999996</v>
      </c>
    </row>
    <row r="133" spans="1:21" s="72" customFormat="1" ht="13.15" customHeight="1" x14ac:dyDescent="0.25">
      <c r="A133" s="40">
        <v>247</v>
      </c>
      <c r="B133" s="67" t="s">
        <v>470</v>
      </c>
      <c r="C133" s="67" t="s">
        <v>302</v>
      </c>
      <c r="D133" s="12">
        <v>15</v>
      </c>
      <c r="E133" s="144">
        <v>264.52</v>
      </c>
      <c r="F133" s="69">
        <f t="shared" ref="F133" si="82">D133*E133</f>
        <v>3967.7999999999997</v>
      </c>
      <c r="G133" s="52">
        <v>400</v>
      </c>
      <c r="H133" s="52"/>
      <c r="I133" s="69">
        <v>5083</v>
      </c>
      <c r="J133" s="70">
        <f t="shared" ref="J133" si="83">+F133-I133</f>
        <v>-1115.2000000000003</v>
      </c>
      <c r="K133" s="71">
        <v>2.2136</v>
      </c>
      <c r="L133" s="69">
        <f t="shared" ref="L133" si="84">(F133-5081.01)*21.36%</f>
        <v>-237.78165600000008</v>
      </c>
      <c r="M133" s="69">
        <v>540.20000000000005</v>
      </c>
      <c r="N133" s="69">
        <f t="shared" ref="N133" si="85">L133+M133</f>
        <v>302.41834399999993</v>
      </c>
      <c r="O133" s="69"/>
      <c r="P133" s="52"/>
      <c r="Q133" s="52"/>
      <c r="R133" s="52"/>
      <c r="S133" s="52"/>
      <c r="T133" s="70">
        <f t="shared" ref="T133" si="86">F133+G133+H133-N133+O133-P133-Q133-R133-S133</f>
        <v>4065.3816559999996</v>
      </c>
      <c r="U133" s="70">
        <f t="shared" ref="U133" si="87">T133-G133</f>
        <v>3665.3816559999996</v>
      </c>
    </row>
    <row r="134" spans="1:21" s="72" customFormat="1" ht="14.45" customHeight="1" x14ac:dyDescent="0.25">
      <c r="A134" s="42">
        <v>274</v>
      </c>
      <c r="B134" s="79" t="s">
        <v>389</v>
      </c>
      <c r="C134" s="79" t="s">
        <v>302</v>
      </c>
      <c r="D134" s="250">
        <v>12</v>
      </c>
      <c r="E134" s="251">
        <v>264.52</v>
      </c>
      <c r="F134" s="85">
        <f t="shared" ref="F134" si="88">D134*E134</f>
        <v>3174.24</v>
      </c>
      <c r="G134" s="252">
        <v>400</v>
      </c>
      <c r="H134" s="252"/>
      <c r="I134" s="85">
        <v>5083</v>
      </c>
      <c r="J134" s="86">
        <f t="shared" ref="J134" si="89">+F134-I134</f>
        <v>-1908.7600000000002</v>
      </c>
      <c r="K134" s="87">
        <v>2.2136</v>
      </c>
      <c r="L134" s="85">
        <f t="shared" ref="L134" si="90">(F134-5081.01)*21.36%</f>
        <v>-407.28607200000005</v>
      </c>
      <c r="M134" s="85">
        <v>540.20000000000005</v>
      </c>
      <c r="N134" s="85">
        <f t="shared" ref="N134" si="91">L134+M134</f>
        <v>132.913928</v>
      </c>
      <c r="O134" s="85"/>
      <c r="P134" s="252"/>
      <c r="Q134" s="253">
        <v>700</v>
      </c>
      <c r="R134" s="252"/>
      <c r="S134" s="252"/>
      <c r="T134" s="86">
        <f t="shared" ref="T134" si="92">F134+G134+H134-N134+O134-P134-Q134-R134-S134</f>
        <v>2741.3260719999998</v>
      </c>
      <c r="U134" s="86">
        <f t="shared" ref="U134" si="93">T134-G134</f>
        <v>2341.3260719999998</v>
      </c>
    </row>
    <row r="135" spans="1:21" s="72" customFormat="1" x14ac:dyDescent="0.25">
      <c r="A135" s="33">
        <v>62</v>
      </c>
      <c r="B135" s="67" t="s">
        <v>249</v>
      </c>
      <c r="C135" s="67" t="s">
        <v>250</v>
      </c>
      <c r="D135" s="12">
        <v>15</v>
      </c>
      <c r="E135" s="144">
        <v>264.52</v>
      </c>
      <c r="F135" s="69">
        <f t="shared" si="70"/>
        <v>3967.7999999999997</v>
      </c>
      <c r="G135" s="52">
        <v>400</v>
      </c>
      <c r="H135" s="52"/>
      <c r="I135" s="69">
        <v>5083</v>
      </c>
      <c r="J135" s="70">
        <f t="shared" si="71"/>
        <v>-1115.2000000000003</v>
      </c>
      <c r="K135" s="71">
        <v>2.2136</v>
      </c>
      <c r="L135" s="69">
        <f t="shared" si="80"/>
        <v>-237.78165600000008</v>
      </c>
      <c r="M135" s="69">
        <v>540.20000000000005</v>
      </c>
      <c r="N135" s="69">
        <f t="shared" si="81"/>
        <v>302.41834399999993</v>
      </c>
      <c r="O135" s="69"/>
      <c r="P135" s="52"/>
      <c r="Q135" s="52"/>
      <c r="R135" s="52"/>
      <c r="S135" s="52"/>
      <c r="T135" s="70">
        <f t="shared" si="72"/>
        <v>4065.3816559999996</v>
      </c>
      <c r="U135" s="70">
        <f t="shared" si="73"/>
        <v>3665.3816559999996</v>
      </c>
    </row>
    <row r="136" spans="1:21" s="72" customFormat="1" x14ac:dyDescent="0.25">
      <c r="A136" s="40">
        <v>63</v>
      </c>
      <c r="B136" s="67" t="s">
        <v>252</v>
      </c>
      <c r="C136" s="67" t="s">
        <v>250</v>
      </c>
      <c r="D136" s="12">
        <v>15</v>
      </c>
      <c r="E136" s="69">
        <v>264.52</v>
      </c>
      <c r="F136" s="69">
        <f t="shared" si="70"/>
        <v>3967.7999999999997</v>
      </c>
      <c r="G136" s="52">
        <v>400</v>
      </c>
      <c r="H136" s="52"/>
      <c r="I136" s="69">
        <v>5084</v>
      </c>
      <c r="J136" s="70">
        <f t="shared" si="71"/>
        <v>-1116.2000000000003</v>
      </c>
      <c r="K136" s="71">
        <v>3.2136</v>
      </c>
      <c r="L136" s="69">
        <f t="shared" si="80"/>
        <v>-237.78165600000008</v>
      </c>
      <c r="M136" s="69">
        <v>541.20000000000005</v>
      </c>
      <c r="N136" s="69">
        <v>302.42</v>
      </c>
      <c r="O136" s="69"/>
      <c r="P136" s="52"/>
      <c r="Q136" s="52"/>
      <c r="R136" s="52"/>
      <c r="S136" s="52"/>
      <c r="T136" s="70">
        <f t="shared" si="72"/>
        <v>4065.3799999999992</v>
      </c>
      <c r="U136" s="70">
        <f t="shared" si="73"/>
        <v>3665.3799999999992</v>
      </c>
    </row>
    <row r="137" spans="1:21" s="72" customFormat="1" x14ac:dyDescent="0.25">
      <c r="A137" s="40">
        <v>248</v>
      </c>
      <c r="B137" s="67" t="s">
        <v>345</v>
      </c>
      <c r="C137" s="67" t="s">
        <v>250</v>
      </c>
      <c r="D137" s="12">
        <v>15</v>
      </c>
      <c r="E137" s="69">
        <v>264.52</v>
      </c>
      <c r="F137" s="69">
        <f t="shared" ref="F137" si="94">D137*E137</f>
        <v>3967.7999999999997</v>
      </c>
      <c r="G137" s="52">
        <v>400</v>
      </c>
      <c r="H137" s="52"/>
      <c r="I137" s="69">
        <v>5084</v>
      </c>
      <c r="J137" s="70">
        <f t="shared" si="71"/>
        <v>-1116.2000000000003</v>
      </c>
      <c r="K137" s="71">
        <v>3.2136</v>
      </c>
      <c r="L137" s="69">
        <f t="shared" si="80"/>
        <v>-237.78165600000008</v>
      </c>
      <c r="M137" s="69">
        <v>541.20000000000005</v>
      </c>
      <c r="N137" s="69">
        <v>302.42</v>
      </c>
      <c r="O137" s="69"/>
      <c r="P137" s="52"/>
      <c r="Q137" s="52"/>
      <c r="R137" s="52"/>
      <c r="S137" s="52"/>
      <c r="T137" s="70">
        <f t="shared" si="72"/>
        <v>4065.3799999999992</v>
      </c>
      <c r="U137" s="70">
        <f t="shared" si="73"/>
        <v>3665.3799999999992</v>
      </c>
    </row>
    <row r="138" spans="1:21" s="72" customFormat="1" x14ac:dyDescent="0.25">
      <c r="A138" s="33">
        <v>64</v>
      </c>
      <c r="B138" s="67" t="s">
        <v>51</v>
      </c>
      <c r="C138" s="67" t="s">
        <v>288</v>
      </c>
      <c r="D138" s="12">
        <v>15</v>
      </c>
      <c r="E138" s="69">
        <v>264.52</v>
      </c>
      <c r="F138" s="69">
        <f t="shared" si="70"/>
        <v>3967.7999999999997</v>
      </c>
      <c r="G138" s="52">
        <v>400</v>
      </c>
      <c r="H138" s="52"/>
      <c r="I138" s="69">
        <v>5086</v>
      </c>
      <c r="J138" s="70">
        <f t="shared" si="71"/>
        <v>-1118.2000000000003</v>
      </c>
      <c r="K138" s="71">
        <v>5.2135999999999996</v>
      </c>
      <c r="L138" s="69">
        <f t="shared" si="80"/>
        <v>-237.78165600000008</v>
      </c>
      <c r="M138" s="69">
        <v>543.20000000000005</v>
      </c>
      <c r="N138" s="69">
        <v>302.42</v>
      </c>
      <c r="O138" s="69"/>
      <c r="P138" s="52"/>
      <c r="Q138" s="52"/>
      <c r="R138" s="52"/>
      <c r="S138" s="52"/>
      <c r="T138" s="70">
        <f t="shared" si="72"/>
        <v>4065.3799999999992</v>
      </c>
      <c r="U138" s="70">
        <f t="shared" si="73"/>
        <v>3665.3799999999992</v>
      </c>
    </row>
    <row r="139" spans="1:21" s="72" customFormat="1" x14ac:dyDescent="0.25">
      <c r="A139" s="36"/>
      <c r="B139" s="80"/>
      <c r="C139" s="81"/>
      <c r="D139" s="82"/>
      <c r="E139" s="82"/>
      <c r="F139" s="83">
        <f>SUM(F127:F138)</f>
        <v>55012.44000000001</v>
      </c>
      <c r="G139" s="83">
        <f>SUM(G127:G138)</f>
        <v>4400</v>
      </c>
      <c r="H139" s="83">
        <f>SUM(H127:H138)</f>
        <v>0</v>
      </c>
      <c r="I139" s="83">
        <f t="shared" ref="I139:S139" si="95">SUM(I127:I138)</f>
        <v>61002.92</v>
      </c>
      <c r="J139" s="83">
        <f t="shared" si="95"/>
        <v>-5990.4800000000014</v>
      </c>
      <c r="K139" s="83">
        <f t="shared" si="95"/>
        <v>25.528799999999997</v>
      </c>
      <c r="L139" s="83">
        <f t="shared" si="95"/>
        <v>-873.02288800000076</v>
      </c>
      <c r="M139" s="83">
        <f t="shared" si="95"/>
        <v>6086.2999999999993</v>
      </c>
      <c r="N139" s="83">
        <f>SUM(N127:N138)</f>
        <v>5156.6356319999995</v>
      </c>
      <c r="O139" s="83">
        <f t="shared" si="95"/>
        <v>0</v>
      </c>
      <c r="P139" s="83">
        <f t="shared" si="95"/>
        <v>0</v>
      </c>
      <c r="Q139" s="83">
        <f>SUM(Q127:Q138)</f>
        <v>2500</v>
      </c>
      <c r="R139" s="83">
        <f t="shared" si="95"/>
        <v>0</v>
      </c>
      <c r="S139" s="83">
        <f t="shared" si="95"/>
        <v>0</v>
      </c>
      <c r="T139" s="83">
        <f>SUM(T127:T138)</f>
        <v>52855.80436799999</v>
      </c>
      <c r="U139" s="83">
        <f>SUM(U127:U138)</f>
        <v>48455.80436799999</v>
      </c>
    </row>
    <row r="140" spans="1:21" s="72" customFormat="1" x14ac:dyDescent="0.25">
      <c r="A140" s="36"/>
      <c r="B140" s="80"/>
      <c r="C140" s="81"/>
      <c r="D140" s="82"/>
      <c r="E140" s="82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</row>
    <row r="141" spans="1:21" s="72" customFormat="1" x14ac:dyDescent="0.25">
      <c r="A141" s="192" t="s">
        <v>206</v>
      </c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4"/>
    </row>
    <row r="142" spans="1:21" s="72" customFormat="1" ht="24" x14ac:dyDescent="0.25">
      <c r="A142" s="32" t="s">
        <v>57</v>
      </c>
      <c r="B142" s="32" t="s">
        <v>13</v>
      </c>
      <c r="C142" s="32" t="s">
        <v>68</v>
      </c>
      <c r="D142" s="32" t="s">
        <v>21</v>
      </c>
      <c r="E142" s="32" t="s">
        <v>15</v>
      </c>
      <c r="F142" s="32" t="s">
        <v>14</v>
      </c>
      <c r="G142" s="32" t="s">
        <v>54</v>
      </c>
      <c r="H142" s="32" t="s">
        <v>60</v>
      </c>
      <c r="I142" s="49" t="s">
        <v>160</v>
      </c>
      <c r="J142" s="49" t="s">
        <v>161</v>
      </c>
      <c r="K142" s="49" t="s">
        <v>162</v>
      </c>
      <c r="L142" s="49" t="s">
        <v>163</v>
      </c>
      <c r="M142" s="32" t="s">
        <v>164</v>
      </c>
      <c r="N142" s="32" t="s">
        <v>55</v>
      </c>
      <c r="O142" s="32" t="s">
        <v>56</v>
      </c>
      <c r="P142" s="32" t="s">
        <v>16</v>
      </c>
      <c r="Q142" s="32" t="s">
        <v>242</v>
      </c>
      <c r="R142" s="32" t="s">
        <v>59</v>
      </c>
      <c r="S142" s="32" t="s">
        <v>66</v>
      </c>
      <c r="T142" s="32" t="s">
        <v>64</v>
      </c>
      <c r="U142" s="32" t="s">
        <v>65</v>
      </c>
    </row>
    <row r="143" spans="1:21" s="75" customFormat="1" x14ac:dyDescent="0.25">
      <c r="A143" s="33">
        <v>65</v>
      </c>
      <c r="B143" s="67" t="s">
        <v>226</v>
      </c>
      <c r="C143" s="68" t="s">
        <v>165</v>
      </c>
      <c r="D143" s="12">
        <v>15</v>
      </c>
      <c r="E143" s="69">
        <v>661.33</v>
      </c>
      <c r="F143" s="69">
        <f t="shared" ref="F143" si="96">D143*E143</f>
        <v>9919.9500000000007</v>
      </c>
      <c r="G143" s="69"/>
      <c r="H143" s="33"/>
      <c r="I143" s="69">
        <f>VLOOKUP($F$144,Tabisr,1)</f>
        <v>2422.81</v>
      </c>
      <c r="J143" s="70">
        <f t="shared" ref="J143" si="97">+F143-I143</f>
        <v>7497.1400000000012</v>
      </c>
      <c r="K143" s="71">
        <f>VLOOKUP($F$144,Tabisr,4)</f>
        <v>0.10879999999999999</v>
      </c>
      <c r="L143" s="69">
        <f>(F143-5081.01)*21.36%</f>
        <v>1033.5975840000001</v>
      </c>
      <c r="M143" s="69">
        <v>538.20000000000005</v>
      </c>
      <c r="N143" s="69">
        <f>L143+M143</f>
        <v>1571.7975840000001</v>
      </c>
      <c r="O143" s="69">
        <f>VLOOKUP($F$144,Tabsub,3)</f>
        <v>0</v>
      </c>
      <c r="P143" s="69"/>
      <c r="Q143" s="69"/>
      <c r="R143" s="69"/>
      <c r="S143" s="69"/>
      <c r="T143" s="70">
        <f t="shared" ref="T143" si="98">F143+G143+H143-N143+O143-P143-Q143-R143-S143</f>
        <v>8348.1524160000008</v>
      </c>
      <c r="U143" s="70">
        <f t="shared" ref="U143" si="99">T143-G143</f>
        <v>8348.1524160000008</v>
      </c>
    </row>
    <row r="144" spans="1:21" s="75" customFormat="1" x14ac:dyDescent="0.25">
      <c r="A144" s="33">
        <v>66</v>
      </c>
      <c r="B144" s="67" t="s">
        <v>225</v>
      </c>
      <c r="C144" s="67" t="s">
        <v>76</v>
      </c>
      <c r="D144" s="12">
        <v>15</v>
      </c>
      <c r="E144" s="12">
        <v>263.56</v>
      </c>
      <c r="F144" s="69">
        <f t="shared" ref="F144" si="100">D144*E144</f>
        <v>3953.4</v>
      </c>
      <c r="G144" s="69">
        <v>400</v>
      </c>
      <c r="H144" s="33"/>
      <c r="I144" s="69">
        <f t="shared" ref="I144:I146" si="101">VLOOKUP($F$27,Tabisr,1)</f>
        <v>2422.81</v>
      </c>
      <c r="J144" s="70">
        <f t="shared" ref="J144" si="102">+F144-I144</f>
        <v>1530.5900000000001</v>
      </c>
      <c r="K144" s="71">
        <f t="shared" ref="K144:K146" si="103">VLOOKUP($F$27,Tabisr,4)</f>
        <v>0.10879999999999999</v>
      </c>
      <c r="L144" s="69">
        <f t="shared" ref="L144:L146" si="104">(F144-3651.01)*16%</f>
        <v>48.382399999999983</v>
      </c>
      <c r="M144" s="69">
        <v>293.25</v>
      </c>
      <c r="N144" s="69">
        <f>M144+L144</f>
        <v>341.63239999999996</v>
      </c>
      <c r="O144" s="69"/>
      <c r="P144" s="69"/>
      <c r="Q144" s="69"/>
      <c r="R144" s="69"/>
      <c r="S144" s="69"/>
      <c r="T144" s="70">
        <f t="shared" ref="T144" si="105">F144+G144+H144-N144+O144-P144-Q144-R144-S144</f>
        <v>4011.7675999999997</v>
      </c>
      <c r="U144" s="70">
        <f t="shared" ref="U144" si="106">T144-G144</f>
        <v>3611.7675999999997</v>
      </c>
    </row>
    <row r="145" spans="1:21" s="72" customFormat="1" x14ac:dyDescent="0.25">
      <c r="A145" s="41">
        <v>67</v>
      </c>
      <c r="B145" s="78" t="s">
        <v>402</v>
      </c>
      <c r="C145" s="84" t="s">
        <v>78</v>
      </c>
      <c r="D145" s="12">
        <v>15</v>
      </c>
      <c r="E145" s="12">
        <v>263.56</v>
      </c>
      <c r="F145" s="69">
        <f t="shared" ref="F145:F150" si="107">D145*E145</f>
        <v>3953.4</v>
      </c>
      <c r="G145" s="69">
        <v>400</v>
      </c>
      <c r="H145" s="33"/>
      <c r="I145" s="69">
        <f t="shared" si="101"/>
        <v>2422.81</v>
      </c>
      <c r="J145" s="70">
        <f t="shared" ref="J145:J146" si="108">+F145-I145</f>
        <v>1530.5900000000001</v>
      </c>
      <c r="K145" s="71">
        <f t="shared" si="103"/>
        <v>0.10879999999999999</v>
      </c>
      <c r="L145" s="69">
        <f t="shared" si="104"/>
        <v>48.382399999999983</v>
      </c>
      <c r="M145" s="69">
        <v>293.25</v>
      </c>
      <c r="N145" s="69">
        <f>M145+L145</f>
        <v>341.63239999999996</v>
      </c>
      <c r="O145" s="69"/>
      <c r="P145" s="69"/>
      <c r="Q145" s="69"/>
      <c r="R145" s="69"/>
      <c r="S145" s="69"/>
      <c r="T145" s="70">
        <f t="shared" ref="T145:T150" si="109">F145+G145+H145-N145+O145-P145-Q145-R145-S145</f>
        <v>4011.7675999999997</v>
      </c>
      <c r="U145" s="70">
        <f t="shared" ref="U145:U150" si="110">T145-G145</f>
        <v>3611.7675999999997</v>
      </c>
    </row>
    <row r="146" spans="1:21" s="75" customFormat="1" ht="13.15" customHeight="1" x14ac:dyDescent="0.25">
      <c r="A146" s="33">
        <v>258</v>
      </c>
      <c r="B146" s="67" t="s">
        <v>361</v>
      </c>
      <c r="C146" s="67" t="s">
        <v>362</v>
      </c>
      <c r="D146" s="12">
        <v>15</v>
      </c>
      <c r="E146" s="12">
        <v>263.56</v>
      </c>
      <c r="F146" s="69">
        <f t="shared" si="107"/>
        <v>3953.4</v>
      </c>
      <c r="G146" s="69">
        <v>400</v>
      </c>
      <c r="H146" s="33"/>
      <c r="I146" s="69">
        <f t="shared" si="101"/>
        <v>2422.81</v>
      </c>
      <c r="J146" s="70">
        <f t="shared" si="108"/>
        <v>1530.5900000000001</v>
      </c>
      <c r="K146" s="71">
        <f t="shared" si="103"/>
        <v>0.10879999999999999</v>
      </c>
      <c r="L146" s="69">
        <f t="shared" si="104"/>
        <v>48.382399999999983</v>
      </c>
      <c r="M146" s="69">
        <v>293.25</v>
      </c>
      <c r="N146" s="69">
        <f>M146+L146</f>
        <v>341.63239999999996</v>
      </c>
      <c r="O146" s="69"/>
      <c r="P146" s="69"/>
      <c r="Q146" s="69"/>
      <c r="R146" s="69"/>
      <c r="S146" s="69"/>
      <c r="T146" s="70">
        <f t="shared" si="109"/>
        <v>4011.7675999999997</v>
      </c>
      <c r="U146" s="70">
        <f t="shared" si="110"/>
        <v>3611.7675999999997</v>
      </c>
    </row>
    <row r="147" spans="1:21" s="75" customFormat="1" ht="15.6" customHeight="1" x14ac:dyDescent="0.25">
      <c r="A147" s="33">
        <v>68</v>
      </c>
      <c r="B147" s="67" t="s">
        <v>307</v>
      </c>
      <c r="C147" s="67" t="s">
        <v>289</v>
      </c>
      <c r="D147" s="12">
        <v>15</v>
      </c>
      <c r="E147" s="12">
        <v>199.8</v>
      </c>
      <c r="F147" s="69">
        <f t="shared" si="107"/>
        <v>2997</v>
      </c>
      <c r="G147" s="69">
        <v>400</v>
      </c>
      <c r="H147" s="33"/>
      <c r="I147" s="69">
        <v>2077.5100000000002</v>
      </c>
      <c r="J147" s="70">
        <v>121.95</v>
      </c>
      <c r="K147" s="71">
        <v>0.10879999999999999</v>
      </c>
      <c r="L147" s="69">
        <f>(F147-2077.51)*10.88%</f>
        <v>100.04051199999998</v>
      </c>
      <c r="M147" s="69">
        <v>121.95</v>
      </c>
      <c r="N147" s="69">
        <f>L147+M147</f>
        <v>221.99051199999997</v>
      </c>
      <c r="O147" s="69">
        <v>125.1</v>
      </c>
      <c r="P147" s="69"/>
      <c r="Q147" s="69"/>
      <c r="R147" s="69"/>
      <c r="S147" s="69"/>
      <c r="T147" s="70">
        <f t="shared" si="109"/>
        <v>3300.1094880000001</v>
      </c>
      <c r="U147" s="70">
        <f t="shared" si="110"/>
        <v>2900.1094880000001</v>
      </c>
    </row>
    <row r="148" spans="1:21" s="75" customFormat="1" x14ac:dyDescent="0.25">
      <c r="A148" s="33">
        <v>70</v>
      </c>
      <c r="B148" s="67" t="s">
        <v>320</v>
      </c>
      <c r="C148" s="67" t="s">
        <v>290</v>
      </c>
      <c r="D148" s="12">
        <v>15</v>
      </c>
      <c r="E148" s="12">
        <v>233.5</v>
      </c>
      <c r="F148" s="69">
        <f t="shared" si="107"/>
        <v>3502.5</v>
      </c>
      <c r="G148" s="69">
        <v>400</v>
      </c>
      <c r="H148" s="33"/>
      <c r="I148" s="69">
        <v>2077.5100000000002</v>
      </c>
      <c r="J148" s="70">
        <v>121.95</v>
      </c>
      <c r="K148" s="71">
        <v>0.10879999999999999</v>
      </c>
      <c r="L148" s="69">
        <f>(F148-2077.51)*10.88%</f>
        <v>155.03891199999998</v>
      </c>
      <c r="M148" s="69">
        <v>121.95</v>
      </c>
      <c r="N148" s="69">
        <f>L148+M148</f>
        <v>276.98891199999997</v>
      </c>
      <c r="O148" s="69">
        <v>125.1</v>
      </c>
      <c r="P148" s="69"/>
      <c r="Q148" s="69"/>
      <c r="R148" s="69"/>
      <c r="S148" s="69"/>
      <c r="T148" s="70">
        <f t="shared" si="109"/>
        <v>3750.6110880000001</v>
      </c>
      <c r="U148" s="70">
        <f t="shared" si="110"/>
        <v>3350.6110880000001</v>
      </c>
    </row>
    <row r="149" spans="1:21" s="75" customFormat="1" x14ac:dyDescent="0.25">
      <c r="A149" s="33">
        <v>71</v>
      </c>
      <c r="B149" s="67" t="s">
        <v>321</v>
      </c>
      <c r="C149" s="67" t="s">
        <v>291</v>
      </c>
      <c r="D149" s="12">
        <v>15</v>
      </c>
      <c r="E149" s="12">
        <v>173</v>
      </c>
      <c r="F149" s="69">
        <f t="shared" si="107"/>
        <v>2595</v>
      </c>
      <c r="G149" s="69">
        <v>400</v>
      </c>
      <c r="H149" s="33"/>
      <c r="I149" s="69">
        <v>2077.5100000000002</v>
      </c>
      <c r="J149" s="70">
        <v>121.95</v>
      </c>
      <c r="K149" s="71">
        <v>0.10879999999999999</v>
      </c>
      <c r="L149" s="69">
        <f>(F149-2077.51)*10.88%</f>
        <v>56.302911999999978</v>
      </c>
      <c r="M149" s="69">
        <v>121.95</v>
      </c>
      <c r="N149" s="69">
        <f>L149+M149</f>
        <v>178.25291199999998</v>
      </c>
      <c r="O149" s="69">
        <v>125.1</v>
      </c>
      <c r="P149" s="69"/>
      <c r="Q149" s="69"/>
      <c r="R149" s="69"/>
      <c r="S149" s="69"/>
      <c r="T149" s="70">
        <f t="shared" si="109"/>
        <v>2941.847088</v>
      </c>
      <c r="U149" s="70">
        <f t="shared" si="110"/>
        <v>2541.847088</v>
      </c>
    </row>
    <row r="150" spans="1:21" s="75" customFormat="1" ht="24" x14ac:dyDescent="0.25">
      <c r="A150" s="33">
        <v>72</v>
      </c>
      <c r="B150" s="67" t="s">
        <v>322</v>
      </c>
      <c r="C150" s="67" t="s">
        <v>292</v>
      </c>
      <c r="D150" s="12">
        <v>15</v>
      </c>
      <c r="E150" s="12">
        <v>199.8</v>
      </c>
      <c r="F150" s="69">
        <f t="shared" si="107"/>
        <v>2997</v>
      </c>
      <c r="G150" s="69">
        <v>400</v>
      </c>
      <c r="H150" s="33"/>
      <c r="I150" s="69">
        <v>2077.5100000000002</v>
      </c>
      <c r="J150" s="70">
        <v>121.95</v>
      </c>
      <c r="K150" s="71">
        <v>0.10879999999999999</v>
      </c>
      <c r="L150" s="69">
        <f>(F150-2077.51)*10.88%</f>
        <v>100.04051199999998</v>
      </c>
      <c r="M150" s="69">
        <v>121.95</v>
      </c>
      <c r="N150" s="69">
        <f>L150+M150</f>
        <v>221.99051199999997</v>
      </c>
      <c r="O150" s="69">
        <v>125.1</v>
      </c>
      <c r="P150" s="69"/>
      <c r="Q150" s="69"/>
      <c r="R150" s="69"/>
      <c r="S150" s="69"/>
      <c r="T150" s="70">
        <f t="shared" si="109"/>
        <v>3300.1094880000001</v>
      </c>
      <c r="U150" s="70">
        <f t="shared" si="110"/>
        <v>2900.1094880000001</v>
      </c>
    </row>
    <row r="151" spans="1:21" s="72" customFormat="1" x14ac:dyDescent="0.25">
      <c r="A151" s="36"/>
      <c r="B151" s="63"/>
      <c r="C151" s="73"/>
      <c r="D151" s="13"/>
      <c r="E151" s="64"/>
      <c r="F151" s="74">
        <f>+SUM(F143:F150)</f>
        <v>33871.65</v>
      </c>
      <c r="G151" s="74">
        <f>+SUM(G143:G150)</f>
        <v>2800</v>
      </c>
      <c r="H151" s="74">
        <f t="shared" ref="H151:S151" si="111">+SUM(H143:H150)</f>
        <v>0</v>
      </c>
      <c r="I151" s="74">
        <f t="shared" si="111"/>
        <v>18001.28</v>
      </c>
      <c r="J151" s="74">
        <f t="shared" si="111"/>
        <v>12576.710000000005</v>
      </c>
      <c r="K151" s="74">
        <f t="shared" si="111"/>
        <v>0.87039999999999995</v>
      </c>
      <c r="L151" s="74">
        <f t="shared" si="111"/>
        <v>1590.1676319999999</v>
      </c>
      <c r="M151" s="74">
        <f t="shared" si="111"/>
        <v>1905.7500000000002</v>
      </c>
      <c r="N151" s="74">
        <f>+SUM(N143:N150)</f>
        <v>3495.9176319999992</v>
      </c>
      <c r="O151" s="74">
        <f t="shared" si="111"/>
        <v>500.4</v>
      </c>
      <c r="P151" s="74">
        <f t="shared" si="111"/>
        <v>0</v>
      </c>
      <c r="Q151" s="74">
        <f>+SUM(Q143:Q150)</f>
        <v>0</v>
      </c>
      <c r="R151" s="74">
        <f t="shared" si="111"/>
        <v>0</v>
      </c>
      <c r="S151" s="74">
        <f t="shared" si="111"/>
        <v>0</v>
      </c>
      <c r="T151" s="74">
        <f>+SUM(T143:T150)</f>
        <v>33676.132367999999</v>
      </c>
      <c r="U151" s="74">
        <f>+SUM(U143:U150)</f>
        <v>30876.132367999999</v>
      </c>
    </row>
    <row r="152" spans="1:21" s="72" customFormat="1" x14ac:dyDescent="0.25">
      <c r="A152" s="36"/>
      <c r="B152" s="63"/>
      <c r="C152" s="73"/>
      <c r="D152" s="13"/>
      <c r="E152" s="6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</row>
    <row r="153" spans="1:21" s="72" customFormat="1" x14ac:dyDescent="0.25">
      <c r="A153" s="36"/>
      <c r="B153" s="63"/>
      <c r="C153" s="73"/>
      <c r="D153" s="13"/>
      <c r="E153" s="6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</row>
    <row r="154" spans="1:21" s="72" customFormat="1" x14ac:dyDescent="0.25">
      <c r="A154" s="192" t="s">
        <v>207</v>
      </c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4"/>
    </row>
    <row r="155" spans="1:21" s="72" customFormat="1" ht="24" x14ac:dyDescent="0.25">
      <c r="A155" s="32" t="s">
        <v>57</v>
      </c>
      <c r="B155" s="32" t="s">
        <v>13</v>
      </c>
      <c r="C155" s="32" t="s">
        <v>68</v>
      </c>
      <c r="D155" s="32" t="s">
        <v>21</v>
      </c>
      <c r="E155" s="32" t="s">
        <v>15</v>
      </c>
      <c r="F155" s="32" t="s">
        <v>14</v>
      </c>
      <c r="G155" s="32" t="s">
        <v>54</v>
      </c>
      <c r="H155" s="32" t="s">
        <v>60</v>
      </c>
      <c r="I155" s="49" t="s">
        <v>160</v>
      </c>
      <c r="J155" s="49" t="s">
        <v>161</v>
      </c>
      <c r="K155" s="49" t="s">
        <v>162</v>
      </c>
      <c r="L155" s="49" t="s">
        <v>163</v>
      </c>
      <c r="M155" s="32" t="s">
        <v>164</v>
      </c>
      <c r="N155" s="32" t="s">
        <v>55</v>
      </c>
      <c r="O155" s="32" t="s">
        <v>56</v>
      </c>
      <c r="P155" s="32" t="s">
        <v>16</v>
      </c>
      <c r="Q155" s="32" t="s">
        <v>242</v>
      </c>
      <c r="R155" s="32" t="s">
        <v>59</v>
      </c>
      <c r="S155" s="32" t="s">
        <v>66</v>
      </c>
      <c r="T155" s="32" t="s">
        <v>64</v>
      </c>
      <c r="U155" s="32" t="s">
        <v>65</v>
      </c>
    </row>
    <row r="156" spans="1:21" s="75" customFormat="1" x14ac:dyDescent="0.25">
      <c r="A156" s="33">
        <v>76</v>
      </c>
      <c r="B156" s="67" t="s">
        <v>184</v>
      </c>
      <c r="C156" s="67" t="s">
        <v>403</v>
      </c>
      <c r="D156" s="12">
        <v>15</v>
      </c>
      <c r="E156" s="69">
        <v>414.83</v>
      </c>
      <c r="F156" s="69">
        <f>D156*E156</f>
        <v>6222.45</v>
      </c>
      <c r="G156" s="69">
        <v>400</v>
      </c>
      <c r="H156" s="33"/>
      <c r="I156" s="69">
        <f>VLOOKUP($F$95,Tabisr,1)</f>
        <v>5925.91</v>
      </c>
      <c r="J156" s="70">
        <f>+F156-I156</f>
        <v>296.53999999999996</v>
      </c>
      <c r="K156" s="71">
        <f>VLOOKUP($F$95,Tabisr,4)</f>
        <v>0.21360000000000001</v>
      </c>
      <c r="L156" s="69">
        <f>(F156-4244.01)*17.92%</f>
        <v>354.53644800000001</v>
      </c>
      <c r="M156" s="69">
        <v>388.05</v>
      </c>
      <c r="N156" s="69">
        <v>690.94</v>
      </c>
      <c r="O156" s="69"/>
      <c r="P156" s="33"/>
      <c r="Q156" s="248">
        <v>250</v>
      </c>
      <c r="R156" s="33"/>
      <c r="S156" s="37"/>
      <c r="T156" s="70">
        <f>F156+G156+H156-N156+O156-P156-Q156-R156-S156</f>
        <v>5681.51</v>
      </c>
      <c r="U156" s="70">
        <f>T156-G156</f>
        <v>5281.51</v>
      </c>
    </row>
    <row r="157" spans="1:21" s="72" customFormat="1" ht="24" x14ac:dyDescent="0.25">
      <c r="A157" s="33">
        <v>77</v>
      </c>
      <c r="B157" s="67" t="s">
        <v>441</v>
      </c>
      <c r="C157" s="67" t="s">
        <v>272</v>
      </c>
      <c r="D157" s="12">
        <v>15</v>
      </c>
      <c r="E157" s="12">
        <v>263.56</v>
      </c>
      <c r="F157" s="69">
        <f>D157*E157</f>
        <v>3953.4</v>
      </c>
      <c r="G157" s="69">
        <v>400</v>
      </c>
      <c r="H157" s="33"/>
      <c r="I157" s="69">
        <f>VLOOKUP($F$27,Tabisr,1)</f>
        <v>2422.81</v>
      </c>
      <c r="J157" s="70">
        <f>+F157-I157</f>
        <v>1530.5900000000001</v>
      </c>
      <c r="K157" s="71">
        <f>VLOOKUP($F$27,Tabisr,4)</f>
        <v>0.10879999999999999</v>
      </c>
      <c r="L157" s="69">
        <f>(F157-3651.01)*16%</f>
        <v>48.382399999999983</v>
      </c>
      <c r="M157" s="69">
        <v>293.25</v>
      </c>
      <c r="N157" s="69">
        <f>M157+L157</f>
        <v>341.63239999999996</v>
      </c>
      <c r="O157" s="69"/>
      <c r="P157" s="69"/>
      <c r="Q157" s="69"/>
      <c r="R157" s="69"/>
      <c r="S157" s="69"/>
      <c r="T157" s="70">
        <f>F157+G157+H157-N157+O157-P157-Q157-R157-S157</f>
        <v>4011.7675999999997</v>
      </c>
      <c r="U157" s="70">
        <f>T157-G157</f>
        <v>3611.7675999999997</v>
      </c>
    </row>
    <row r="158" spans="1:21" s="72" customFormat="1" x14ac:dyDescent="0.25">
      <c r="A158" s="33">
        <v>78</v>
      </c>
      <c r="B158" s="67" t="s">
        <v>108</v>
      </c>
      <c r="C158" s="68" t="s">
        <v>73</v>
      </c>
      <c r="D158" s="12">
        <v>15</v>
      </c>
      <c r="E158" s="12">
        <v>263.56</v>
      </c>
      <c r="F158" s="69">
        <f>D158*E158</f>
        <v>3953.4</v>
      </c>
      <c r="G158" s="69">
        <v>400</v>
      </c>
      <c r="H158" s="33"/>
      <c r="I158" s="69">
        <f>VLOOKUP($F$27,Tabisr,1)</f>
        <v>2422.81</v>
      </c>
      <c r="J158" s="70">
        <f>+F158-I158</f>
        <v>1530.5900000000001</v>
      </c>
      <c r="K158" s="71">
        <f>VLOOKUP($F$27,Tabisr,4)</f>
        <v>0.10879999999999999</v>
      </c>
      <c r="L158" s="69">
        <f>(F158-3651.01)*16%</f>
        <v>48.382399999999983</v>
      </c>
      <c r="M158" s="69">
        <v>293.25</v>
      </c>
      <c r="N158" s="69">
        <f>M158+L158</f>
        <v>341.63239999999996</v>
      </c>
      <c r="O158" s="69"/>
      <c r="P158" s="69"/>
      <c r="Q158" s="69"/>
      <c r="R158" s="69"/>
      <c r="S158" s="69"/>
      <c r="T158" s="70">
        <f>F158+G158+H158-N158+O158-P158-Q158-R158-S158</f>
        <v>4011.7675999999997</v>
      </c>
      <c r="U158" s="70">
        <f>T158-G158</f>
        <v>3611.7675999999997</v>
      </c>
    </row>
    <row r="159" spans="1:21" s="72" customFormat="1" x14ac:dyDescent="0.25">
      <c r="A159" s="36"/>
      <c r="B159" s="80"/>
      <c r="C159" s="81"/>
      <c r="D159" s="82"/>
      <c r="E159" s="82"/>
      <c r="F159" s="83">
        <f>+SUM(F156:F158)</f>
        <v>14129.25</v>
      </c>
      <c r="G159" s="83">
        <f>+SUM(G156:G158)</f>
        <v>1200</v>
      </c>
      <c r="H159" s="83">
        <f t="shared" ref="H159:S159" si="112">+SUM(H156:H158)</f>
        <v>0</v>
      </c>
      <c r="I159" s="83">
        <f t="shared" si="112"/>
        <v>10771.529999999999</v>
      </c>
      <c r="J159" s="83">
        <f t="shared" si="112"/>
        <v>3357.7200000000003</v>
      </c>
      <c r="K159" s="83">
        <f t="shared" si="112"/>
        <v>0.43120000000000003</v>
      </c>
      <c r="L159" s="83">
        <f t="shared" si="112"/>
        <v>451.30124799999993</v>
      </c>
      <c r="M159" s="83">
        <f t="shared" si="112"/>
        <v>974.55</v>
      </c>
      <c r="N159" s="83">
        <f>+SUM(N156:N158)</f>
        <v>1374.2048</v>
      </c>
      <c r="O159" s="83">
        <f t="shared" si="112"/>
        <v>0</v>
      </c>
      <c r="P159" s="83">
        <f t="shared" si="112"/>
        <v>0</v>
      </c>
      <c r="Q159" s="83">
        <f t="shared" si="112"/>
        <v>250</v>
      </c>
      <c r="R159" s="83">
        <f t="shared" si="112"/>
        <v>0</v>
      </c>
      <c r="S159" s="83">
        <f t="shared" si="112"/>
        <v>0</v>
      </c>
      <c r="T159" s="83">
        <f>+SUM(T156:T158)</f>
        <v>13705.045199999999</v>
      </c>
      <c r="U159" s="83">
        <f>+SUM(U156:U158)</f>
        <v>12505.045199999999</v>
      </c>
    </row>
    <row r="160" spans="1:21" s="72" customFormat="1" ht="19.899999999999999" customHeight="1" x14ac:dyDescent="0.25">
      <c r="A160" s="36"/>
      <c r="B160" s="80"/>
      <c r="C160" s="81"/>
      <c r="D160" s="82"/>
      <c r="E160" s="82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</row>
    <row r="161" spans="1:21" s="72" customFormat="1" ht="22.15" customHeight="1" x14ac:dyDescent="0.25">
      <c r="A161" s="36"/>
      <c r="B161" s="80"/>
      <c r="C161" s="81"/>
      <c r="D161" s="82"/>
      <c r="E161" s="82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</row>
    <row r="162" spans="1:21" s="72" customFormat="1" x14ac:dyDescent="0.25">
      <c r="A162" s="192" t="s">
        <v>208</v>
      </c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4"/>
    </row>
    <row r="163" spans="1:21" s="72" customFormat="1" ht="24" x14ac:dyDescent="0.25">
      <c r="A163" s="32" t="s">
        <v>57</v>
      </c>
      <c r="B163" s="32" t="s">
        <v>13</v>
      </c>
      <c r="C163" s="32" t="s">
        <v>68</v>
      </c>
      <c r="D163" s="32" t="s">
        <v>21</v>
      </c>
      <c r="E163" s="32" t="s">
        <v>15</v>
      </c>
      <c r="F163" s="32" t="s">
        <v>14</v>
      </c>
      <c r="G163" s="32" t="s">
        <v>54</v>
      </c>
      <c r="H163" s="32" t="s">
        <v>60</v>
      </c>
      <c r="I163" s="49" t="s">
        <v>160</v>
      </c>
      <c r="J163" s="49" t="s">
        <v>161</v>
      </c>
      <c r="K163" s="49" t="s">
        <v>162</v>
      </c>
      <c r="L163" s="49" t="s">
        <v>163</v>
      </c>
      <c r="M163" s="32" t="s">
        <v>164</v>
      </c>
      <c r="N163" s="32" t="s">
        <v>55</v>
      </c>
      <c r="O163" s="32" t="s">
        <v>56</v>
      </c>
      <c r="P163" s="32" t="s">
        <v>16</v>
      </c>
      <c r="Q163" s="32" t="s">
        <v>242</v>
      </c>
      <c r="R163" s="32" t="s">
        <v>59</v>
      </c>
      <c r="S163" s="32" t="s">
        <v>66</v>
      </c>
      <c r="T163" s="32" t="s">
        <v>64</v>
      </c>
      <c r="U163" s="32" t="s">
        <v>65</v>
      </c>
    </row>
    <row r="164" spans="1:21" s="75" customFormat="1" x14ac:dyDescent="0.25">
      <c r="A164" s="33">
        <v>79</v>
      </c>
      <c r="B164" s="67" t="s">
        <v>20</v>
      </c>
      <c r="C164" s="67" t="s">
        <v>91</v>
      </c>
      <c r="D164" s="12">
        <v>15</v>
      </c>
      <c r="E164" s="69">
        <v>414.83</v>
      </c>
      <c r="F164" s="69">
        <f>D164*E164</f>
        <v>6222.45</v>
      </c>
      <c r="G164" s="69">
        <v>400</v>
      </c>
      <c r="H164" s="33"/>
      <c r="I164" s="69">
        <f>VLOOKUP($F$95,Tabisr,1)</f>
        <v>5925.91</v>
      </c>
      <c r="J164" s="70">
        <f>+F164-I164</f>
        <v>296.53999999999996</v>
      </c>
      <c r="K164" s="71">
        <f>VLOOKUP($F$95,Tabisr,4)</f>
        <v>0.21360000000000001</v>
      </c>
      <c r="L164" s="69">
        <f>(F164-4244.01)*17.92%</f>
        <v>354.53644800000001</v>
      </c>
      <c r="M164" s="69">
        <v>388.05</v>
      </c>
      <c r="N164" s="69">
        <v>690.94</v>
      </c>
      <c r="O164" s="69"/>
      <c r="P164" s="33"/>
      <c r="Q164" s="33"/>
      <c r="R164" s="33"/>
      <c r="S164" s="37"/>
      <c r="T164" s="70">
        <f>F164+G164+H164-N164+O164-P164-Q164-R164-S164</f>
        <v>5931.51</v>
      </c>
      <c r="U164" s="70">
        <f>T164-G164</f>
        <v>5531.51</v>
      </c>
    </row>
    <row r="165" spans="1:21" s="75" customFormat="1" x14ac:dyDescent="0.25">
      <c r="A165" s="33">
        <v>80</v>
      </c>
      <c r="B165" s="67" t="s">
        <v>1</v>
      </c>
      <c r="C165" s="68" t="s">
        <v>70</v>
      </c>
      <c r="D165" s="12">
        <v>15</v>
      </c>
      <c r="E165" s="69">
        <v>263.56</v>
      </c>
      <c r="F165" s="69">
        <f>D165*E165</f>
        <v>3953.4</v>
      </c>
      <c r="G165" s="69">
        <v>400</v>
      </c>
      <c r="H165" s="70"/>
      <c r="I165" s="69">
        <f>VLOOKUP($F$165,Tabisr,1)</f>
        <v>2422.81</v>
      </c>
      <c r="J165" s="70">
        <f>+F165-I165</f>
        <v>1530.5900000000001</v>
      </c>
      <c r="K165" s="71">
        <f>VLOOKUP($F$165,Tabisr,4)</f>
        <v>0.10879999999999999</v>
      </c>
      <c r="L165" s="69">
        <f>(F165-3651.01)*16%</f>
        <v>48.382399999999983</v>
      </c>
      <c r="M165" s="69">
        <v>293.25</v>
      </c>
      <c r="N165" s="69">
        <f>M165+L165</f>
        <v>341.63239999999996</v>
      </c>
      <c r="O165" s="69"/>
      <c r="P165" s="33"/>
      <c r="Q165" s="33"/>
      <c r="R165" s="33"/>
      <c r="S165" s="37"/>
      <c r="T165" s="70">
        <f>F165+G165+H165-N165+O165-P165-Q165-R165-S165</f>
        <v>4011.7675999999997</v>
      </c>
      <c r="U165" s="70">
        <f>T165-G165</f>
        <v>3611.7675999999997</v>
      </c>
    </row>
    <row r="166" spans="1:21" s="96" customFormat="1" x14ac:dyDescent="0.25">
      <c r="A166" s="33">
        <v>81</v>
      </c>
      <c r="B166" s="67" t="s">
        <v>346</v>
      </c>
      <c r="C166" s="68" t="s">
        <v>70</v>
      </c>
      <c r="D166" s="12">
        <v>15</v>
      </c>
      <c r="E166" s="69">
        <v>263.56</v>
      </c>
      <c r="F166" s="69">
        <f t="shared" ref="F166" si="113">D166*E166</f>
        <v>3953.4</v>
      </c>
      <c r="G166" s="52">
        <v>400</v>
      </c>
      <c r="H166" s="52"/>
      <c r="I166" s="69">
        <v>3651.01</v>
      </c>
      <c r="J166" s="70">
        <f>+F166-I166</f>
        <v>302.38999999999987</v>
      </c>
      <c r="K166" s="71">
        <v>0.16</v>
      </c>
      <c r="L166" s="69">
        <f>(F166-3651.01)*16%</f>
        <v>48.382399999999983</v>
      </c>
      <c r="M166" s="69">
        <v>293.25</v>
      </c>
      <c r="N166" s="69">
        <f>M166+L166</f>
        <v>341.63239999999996</v>
      </c>
      <c r="O166" s="69"/>
      <c r="P166" s="69"/>
      <c r="Q166" s="247">
        <v>255</v>
      </c>
      <c r="R166" s="69"/>
      <c r="S166" s="69"/>
      <c r="T166" s="70">
        <f>F166+G166+H166-N166+O166-P166-Q166-R166-S166</f>
        <v>3756.7675999999997</v>
      </c>
      <c r="U166" s="70">
        <f>T166-G166</f>
        <v>3356.7675999999997</v>
      </c>
    </row>
    <row r="167" spans="1:21" s="72" customFormat="1" x14ac:dyDescent="0.25">
      <c r="A167" s="36"/>
      <c r="B167" s="80"/>
      <c r="C167" s="81"/>
      <c r="D167" s="82"/>
      <c r="E167" s="82"/>
      <c r="F167" s="83">
        <f>+SUM(F164:F166)</f>
        <v>14129.25</v>
      </c>
      <c r="G167" s="83">
        <f>+SUM(G164:G166)</f>
        <v>1200</v>
      </c>
      <c r="H167" s="83">
        <f t="shared" ref="H167:U167" si="114">+SUM(H164:H166)</f>
        <v>0</v>
      </c>
      <c r="I167" s="83">
        <f t="shared" si="114"/>
        <v>11999.73</v>
      </c>
      <c r="J167" s="83">
        <f t="shared" si="114"/>
        <v>2129.52</v>
      </c>
      <c r="K167" s="83">
        <f t="shared" si="114"/>
        <v>0.48240000000000005</v>
      </c>
      <c r="L167" s="83">
        <f t="shared" si="114"/>
        <v>451.30124799999993</v>
      </c>
      <c r="M167" s="83">
        <f t="shared" si="114"/>
        <v>974.55</v>
      </c>
      <c r="N167" s="83">
        <f t="shared" si="114"/>
        <v>1374.2048</v>
      </c>
      <c r="O167" s="83">
        <f t="shared" si="114"/>
        <v>0</v>
      </c>
      <c r="P167" s="83">
        <f t="shared" si="114"/>
        <v>0</v>
      </c>
      <c r="Q167" s="83">
        <f t="shared" si="114"/>
        <v>255</v>
      </c>
      <c r="R167" s="83">
        <f t="shared" si="114"/>
        <v>0</v>
      </c>
      <c r="S167" s="83">
        <f t="shared" si="114"/>
        <v>0</v>
      </c>
      <c r="T167" s="83">
        <f t="shared" si="114"/>
        <v>13700.045199999999</v>
      </c>
      <c r="U167" s="83">
        <f t="shared" si="114"/>
        <v>12500.045199999999</v>
      </c>
    </row>
    <row r="168" spans="1:21" s="72" customFormat="1" ht="24" customHeight="1" x14ac:dyDescent="0.25">
      <c r="A168" s="36"/>
      <c r="B168" s="80"/>
      <c r="C168" s="81"/>
      <c r="D168" s="82"/>
      <c r="E168" s="82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</row>
    <row r="169" spans="1:21" s="72" customFormat="1" ht="30" customHeight="1" x14ac:dyDescent="0.25">
      <c r="A169" s="36"/>
      <c r="B169" s="80"/>
      <c r="C169" s="81"/>
      <c r="D169" s="82"/>
      <c r="E169" s="82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</row>
    <row r="170" spans="1:21" s="72" customFormat="1" x14ac:dyDescent="0.25">
      <c r="A170" s="192" t="s">
        <v>209</v>
      </c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4"/>
    </row>
    <row r="171" spans="1:21" s="72" customFormat="1" ht="24" x14ac:dyDescent="0.25">
      <c r="A171" s="32" t="s">
        <v>57</v>
      </c>
      <c r="B171" s="32" t="s">
        <v>13</v>
      </c>
      <c r="C171" s="32" t="s">
        <v>68</v>
      </c>
      <c r="D171" s="32" t="s">
        <v>21</v>
      </c>
      <c r="E171" s="32" t="s">
        <v>15</v>
      </c>
      <c r="F171" s="32" t="s">
        <v>14</v>
      </c>
      <c r="G171" s="32" t="s">
        <v>54</v>
      </c>
      <c r="H171" s="32" t="s">
        <v>60</v>
      </c>
      <c r="I171" s="49" t="s">
        <v>160</v>
      </c>
      <c r="J171" s="49" t="s">
        <v>161</v>
      </c>
      <c r="K171" s="49" t="s">
        <v>162</v>
      </c>
      <c r="L171" s="49" t="s">
        <v>163</v>
      </c>
      <c r="M171" s="32" t="s">
        <v>164</v>
      </c>
      <c r="N171" s="32" t="s">
        <v>55</v>
      </c>
      <c r="O171" s="32" t="s">
        <v>56</v>
      </c>
      <c r="P171" s="32" t="s">
        <v>16</v>
      </c>
      <c r="Q171" s="32" t="s">
        <v>242</v>
      </c>
      <c r="R171" s="32" t="s">
        <v>59</v>
      </c>
      <c r="S171" s="32" t="s">
        <v>66</v>
      </c>
      <c r="T171" s="32" t="s">
        <v>64</v>
      </c>
      <c r="U171" s="32" t="s">
        <v>65</v>
      </c>
    </row>
    <row r="172" spans="1:21" s="72" customFormat="1" ht="24" x14ac:dyDescent="0.25">
      <c r="A172" s="33">
        <v>82</v>
      </c>
      <c r="B172" s="67" t="s">
        <v>100</v>
      </c>
      <c r="C172" s="67" t="s">
        <v>185</v>
      </c>
      <c r="D172" s="12">
        <v>15</v>
      </c>
      <c r="E172" s="69">
        <v>661.33</v>
      </c>
      <c r="F172" s="69">
        <f t="shared" ref="F172:F181" si="115">D172*E172</f>
        <v>9919.9500000000007</v>
      </c>
      <c r="G172" s="69"/>
      <c r="H172" s="69"/>
      <c r="I172" s="69">
        <f>VLOOKUP($F$186,Tabisr,1)</f>
        <v>5925.91</v>
      </c>
      <c r="J172" s="70">
        <f t="shared" ref="J172:J181" si="116">+F172-I172</f>
        <v>3994.0400000000009</v>
      </c>
      <c r="K172" s="71">
        <f>VLOOKUP($F$186,Tabisr,4)</f>
        <v>0.21360000000000001</v>
      </c>
      <c r="L172" s="69">
        <f>(F172-5081.01)*21.36%</f>
        <v>1033.5975840000001</v>
      </c>
      <c r="M172" s="69">
        <v>538.20000000000005</v>
      </c>
      <c r="N172" s="69">
        <f t="shared" ref="N172:N181" si="117">L172+M172</f>
        <v>1571.7975840000001</v>
      </c>
      <c r="O172" s="69">
        <f>VLOOKUP($F$186,Tabsub,3)</f>
        <v>0</v>
      </c>
      <c r="P172" s="69"/>
      <c r="Q172" s="69"/>
      <c r="R172" s="69"/>
      <c r="S172" s="69"/>
      <c r="T172" s="70">
        <f t="shared" ref="T172:T181" si="118">F172+G172+H172-N172+O172-P172-Q172-R172-S172</f>
        <v>8348.1524160000008</v>
      </c>
      <c r="U172" s="70">
        <f t="shared" ref="U172:U181" si="119">T172-G172</f>
        <v>8348.1524160000008</v>
      </c>
    </row>
    <row r="173" spans="1:21" s="72" customFormat="1" x14ac:dyDescent="0.25">
      <c r="A173" s="168">
        <v>211</v>
      </c>
      <c r="B173" s="78" t="s">
        <v>491</v>
      </c>
      <c r="C173" s="78" t="s">
        <v>70</v>
      </c>
      <c r="D173" s="12">
        <v>15</v>
      </c>
      <c r="E173" s="69">
        <v>263.56</v>
      </c>
      <c r="F173" s="69">
        <f t="shared" si="115"/>
        <v>3953.4</v>
      </c>
      <c r="G173" s="69">
        <v>400</v>
      </c>
      <c r="H173" s="69"/>
      <c r="I173" s="69">
        <f>VLOOKUP($F$187,Tabisr,1)</f>
        <v>2422.81</v>
      </c>
      <c r="J173" s="70">
        <f>+F173-I173</f>
        <v>1530.5900000000001</v>
      </c>
      <c r="K173" s="71">
        <f>VLOOKUP($F$187,Tabisr,4)</f>
        <v>0.10879999999999999</v>
      </c>
      <c r="L173" s="69">
        <f>(F173-3651.01)*16%+0.18</f>
        <v>48.562399999999982</v>
      </c>
      <c r="M173" s="69">
        <v>293.25</v>
      </c>
      <c r="N173" s="69">
        <v>341.63</v>
      </c>
      <c r="O173" s="69">
        <f>VLOOKUP($F$187,Tabsub,3)</f>
        <v>0</v>
      </c>
      <c r="P173" s="69"/>
      <c r="Q173" s="69"/>
      <c r="R173" s="69"/>
      <c r="S173" s="69"/>
      <c r="T173" s="70">
        <f t="shared" si="118"/>
        <v>4011.7699999999995</v>
      </c>
      <c r="U173" s="70">
        <f t="shared" si="119"/>
        <v>3611.7699999999995</v>
      </c>
    </row>
    <row r="174" spans="1:21" s="72" customFormat="1" ht="13.9" customHeight="1" x14ac:dyDescent="0.25">
      <c r="A174" s="33">
        <v>84</v>
      </c>
      <c r="B174" s="116" t="s">
        <v>414</v>
      </c>
      <c r="C174" s="67" t="s">
        <v>186</v>
      </c>
      <c r="D174" s="12">
        <v>15</v>
      </c>
      <c r="E174" s="69">
        <v>312.26</v>
      </c>
      <c r="F174" s="69">
        <f t="shared" ref="F174" si="120">D174*E174</f>
        <v>4683.8999999999996</v>
      </c>
      <c r="G174" s="69">
        <v>400</v>
      </c>
      <c r="H174" s="69"/>
      <c r="I174" s="69">
        <f>VLOOKUP($F$95,Tabisr,1)</f>
        <v>5925.91</v>
      </c>
      <c r="J174" s="70">
        <f t="shared" ref="J174" si="121">+F174-I174</f>
        <v>-1242.0100000000002</v>
      </c>
      <c r="K174" s="71">
        <f>VLOOKUP($F$95,Tabisr,4)</f>
        <v>0.21360000000000001</v>
      </c>
      <c r="L174" s="69">
        <f>(F174-4244.01)*17.92%</f>
        <v>78.828287999999901</v>
      </c>
      <c r="M174" s="69">
        <v>388.05</v>
      </c>
      <c r="N174" s="69">
        <f t="shared" ref="N174" si="122">L174+M174</f>
        <v>466.87828799999988</v>
      </c>
      <c r="O174" s="69">
        <f>VLOOKUP($F$176,Tabsub,3)</f>
        <v>0</v>
      </c>
      <c r="P174" s="69"/>
      <c r="Q174" s="69"/>
      <c r="R174" s="69"/>
      <c r="S174" s="69"/>
      <c r="T174" s="70">
        <f t="shared" ref="T174" si="123">F174+G174+H174-N174+O174-P174-Q174-R174-S174</f>
        <v>4617.0217119999998</v>
      </c>
      <c r="U174" s="70">
        <f t="shared" ref="U174" si="124">T174-G174</f>
        <v>4217.0217119999998</v>
      </c>
    </row>
    <row r="175" spans="1:21" s="72" customFormat="1" ht="24" x14ac:dyDescent="0.25">
      <c r="A175" s="33">
        <v>85</v>
      </c>
      <c r="B175" s="67" t="s">
        <v>227</v>
      </c>
      <c r="C175" s="67" t="s">
        <v>331</v>
      </c>
      <c r="D175" s="12">
        <v>15</v>
      </c>
      <c r="E175" s="69">
        <v>312.26</v>
      </c>
      <c r="F175" s="69">
        <f t="shared" si="115"/>
        <v>4683.8999999999996</v>
      </c>
      <c r="G175" s="69">
        <v>400</v>
      </c>
      <c r="H175" s="69"/>
      <c r="I175" s="69">
        <f>VLOOKUP($F$95,Tabisr,1)</f>
        <v>5925.91</v>
      </c>
      <c r="J175" s="70">
        <f t="shared" si="116"/>
        <v>-1242.0100000000002</v>
      </c>
      <c r="K175" s="71">
        <f>VLOOKUP($F$95,Tabisr,4)</f>
        <v>0.21360000000000001</v>
      </c>
      <c r="L175" s="69">
        <f>(F175-4244.01)*17.92%</f>
        <v>78.828287999999901</v>
      </c>
      <c r="M175" s="69">
        <v>388.05</v>
      </c>
      <c r="N175" s="69">
        <f t="shared" si="117"/>
        <v>466.87828799999988</v>
      </c>
      <c r="O175" s="69">
        <f>VLOOKUP($F$176,Tabsub,3)</f>
        <v>0</v>
      </c>
      <c r="P175" s="69"/>
      <c r="Q175" s="69"/>
      <c r="R175" s="69"/>
      <c r="S175" s="69"/>
      <c r="T175" s="70">
        <f t="shared" si="118"/>
        <v>4617.0217119999998</v>
      </c>
      <c r="U175" s="70">
        <f t="shared" si="119"/>
        <v>4217.0217119999998</v>
      </c>
    </row>
    <row r="176" spans="1:21" s="72" customFormat="1" x14ac:dyDescent="0.25">
      <c r="A176" s="33">
        <v>86</v>
      </c>
      <c r="B176" s="67" t="s">
        <v>40</v>
      </c>
      <c r="C176" s="67" t="s">
        <v>135</v>
      </c>
      <c r="D176" s="12">
        <v>15</v>
      </c>
      <c r="E176" s="69">
        <v>263.56</v>
      </c>
      <c r="F176" s="69">
        <f t="shared" si="115"/>
        <v>3953.4</v>
      </c>
      <c r="G176" s="69">
        <v>400</v>
      </c>
      <c r="H176" s="69"/>
      <c r="I176" s="69">
        <f>VLOOKUP($F$176,Tabisr,1)</f>
        <v>2422.81</v>
      </c>
      <c r="J176" s="70">
        <f t="shared" si="116"/>
        <v>1530.5900000000001</v>
      </c>
      <c r="K176" s="71">
        <f>VLOOKUP($F$176,Tabisr,4)</f>
        <v>0.10879999999999999</v>
      </c>
      <c r="L176" s="69">
        <f>(F176-3651.01)*16%</f>
        <v>48.382399999999983</v>
      </c>
      <c r="M176" s="69">
        <v>293.25</v>
      </c>
      <c r="N176" s="69">
        <f t="shared" si="117"/>
        <v>341.63239999999996</v>
      </c>
      <c r="O176" s="69">
        <f>VLOOKUP($F$176,Tabsub,3)</f>
        <v>0</v>
      </c>
      <c r="P176" s="69"/>
      <c r="Q176" s="69"/>
      <c r="R176" s="69"/>
      <c r="S176" s="69"/>
      <c r="T176" s="70">
        <f t="shared" si="118"/>
        <v>4011.7675999999997</v>
      </c>
      <c r="U176" s="70">
        <f t="shared" si="119"/>
        <v>3611.7675999999997</v>
      </c>
    </row>
    <row r="177" spans="1:21" s="72" customFormat="1" x14ac:dyDescent="0.25">
      <c r="A177" s="33">
        <v>87</v>
      </c>
      <c r="B177" s="67" t="s">
        <v>8</v>
      </c>
      <c r="C177" s="67" t="s">
        <v>85</v>
      </c>
      <c r="D177" s="12">
        <v>15</v>
      </c>
      <c r="E177" s="69">
        <v>263.56</v>
      </c>
      <c r="F177" s="69">
        <f t="shared" si="115"/>
        <v>3953.4</v>
      </c>
      <c r="G177" s="69">
        <v>400</v>
      </c>
      <c r="H177" s="69"/>
      <c r="I177" s="69">
        <f>VLOOKUP($F$177,Tabisr,1)</f>
        <v>2422.81</v>
      </c>
      <c r="J177" s="70">
        <f t="shared" si="116"/>
        <v>1530.5900000000001</v>
      </c>
      <c r="K177" s="71">
        <f>VLOOKUP($F$177,Tabisr,4)</f>
        <v>0.10879999999999999</v>
      </c>
      <c r="L177" s="69">
        <f>(F177-3651.01)*16%</f>
        <v>48.382399999999983</v>
      </c>
      <c r="M177" s="69">
        <v>293.25</v>
      </c>
      <c r="N177" s="69">
        <f t="shared" si="117"/>
        <v>341.63239999999996</v>
      </c>
      <c r="O177" s="69">
        <f>VLOOKUP($F$177,Tabsub,3)</f>
        <v>0</v>
      </c>
      <c r="P177" s="69"/>
      <c r="Q177" s="69"/>
      <c r="R177" s="69"/>
      <c r="S177" s="69"/>
      <c r="T177" s="70">
        <f t="shared" si="118"/>
        <v>4011.7675999999997</v>
      </c>
      <c r="U177" s="70">
        <f t="shared" si="119"/>
        <v>3611.7675999999997</v>
      </c>
    </row>
    <row r="178" spans="1:21" s="72" customFormat="1" x14ac:dyDescent="0.25">
      <c r="A178" s="35">
        <v>88</v>
      </c>
      <c r="B178" s="92" t="s">
        <v>465</v>
      </c>
      <c r="C178" s="57" t="s">
        <v>482</v>
      </c>
      <c r="D178" s="14"/>
      <c r="E178" s="59"/>
      <c r="F178" s="59"/>
      <c r="G178" s="59"/>
      <c r="H178" s="59"/>
      <c r="I178" s="59"/>
      <c r="J178" s="61"/>
      <c r="K178" s="62"/>
      <c r="L178" s="59"/>
      <c r="M178" s="59"/>
      <c r="N178" s="59"/>
      <c r="O178" s="59"/>
      <c r="P178" s="59"/>
      <c r="Q178" s="59"/>
      <c r="R178" s="59"/>
      <c r="S178" s="59"/>
      <c r="T178" s="61"/>
      <c r="U178" s="61"/>
    </row>
    <row r="179" spans="1:21" s="72" customFormat="1" x14ac:dyDescent="0.25">
      <c r="A179" s="33">
        <v>271</v>
      </c>
      <c r="B179" s="67" t="s">
        <v>381</v>
      </c>
      <c r="C179" s="67" t="s">
        <v>382</v>
      </c>
      <c r="D179" s="12">
        <v>15</v>
      </c>
      <c r="E179" s="69">
        <v>263.56</v>
      </c>
      <c r="F179" s="69">
        <f t="shared" ref="F179:F180" si="125">D179*E179</f>
        <v>3953.4</v>
      </c>
      <c r="G179" s="69">
        <v>400</v>
      </c>
      <c r="H179" s="69"/>
      <c r="I179" s="69">
        <f>VLOOKUP($F$177,Tabisr,1)</f>
        <v>2422.81</v>
      </c>
      <c r="J179" s="70">
        <f t="shared" ref="J179:J180" si="126">+F179-I179</f>
        <v>1530.5900000000001</v>
      </c>
      <c r="K179" s="71">
        <f>VLOOKUP($F$177,Tabisr,4)</f>
        <v>0.10879999999999999</v>
      </c>
      <c r="L179" s="69">
        <f>(F179-3651.01)*16%</f>
        <v>48.382399999999983</v>
      </c>
      <c r="M179" s="69">
        <v>293.25</v>
      </c>
      <c r="N179" s="69">
        <f t="shared" ref="N179:N180" si="127">L179+M179</f>
        <v>341.63239999999996</v>
      </c>
      <c r="O179" s="69">
        <f>VLOOKUP($F$177,Tabsub,3)</f>
        <v>0</v>
      </c>
      <c r="P179" s="69"/>
      <c r="Q179" s="247">
        <v>700</v>
      </c>
      <c r="R179" s="69"/>
      <c r="S179" s="69"/>
      <c r="T179" s="70">
        <f t="shared" ref="T179:T180" si="128">F179+G179+H179-N179+O179-P179-Q179-R179-S179</f>
        <v>3311.7675999999997</v>
      </c>
      <c r="U179" s="70">
        <f t="shared" ref="U179:U180" si="129">T179-G179</f>
        <v>2911.7675999999997</v>
      </c>
    </row>
    <row r="180" spans="1:21" s="72" customFormat="1" x14ac:dyDescent="0.25">
      <c r="A180" s="41">
        <v>89</v>
      </c>
      <c r="B180" s="78" t="s">
        <v>435</v>
      </c>
      <c r="C180" s="146" t="s">
        <v>84</v>
      </c>
      <c r="D180" s="12">
        <v>15</v>
      </c>
      <c r="E180" s="69">
        <v>312.26</v>
      </c>
      <c r="F180" s="69">
        <f t="shared" si="125"/>
        <v>4683.8999999999996</v>
      </c>
      <c r="G180" s="69">
        <v>400</v>
      </c>
      <c r="H180" s="69"/>
      <c r="I180" s="69" t="e">
        <f>VLOOKUP($F$92,Tabisr,1)</f>
        <v>#N/A</v>
      </c>
      <c r="J180" s="147" t="e">
        <f t="shared" si="126"/>
        <v>#N/A</v>
      </c>
      <c r="K180" s="148" t="e">
        <f>VLOOKUP($F$92,Tabisr,4)</f>
        <v>#N/A</v>
      </c>
      <c r="L180" s="69">
        <f>(F180-4244.01)*17.92%</f>
        <v>78.828287999999901</v>
      </c>
      <c r="M180" s="69">
        <v>388.05</v>
      </c>
      <c r="N180" s="69">
        <f t="shared" si="127"/>
        <v>466.87828799999988</v>
      </c>
      <c r="O180" s="69"/>
      <c r="P180" s="69"/>
      <c r="Q180" s="69"/>
      <c r="R180" s="69"/>
      <c r="S180" s="69"/>
      <c r="T180" s="147">
        <f t="shared" si="128"/>
        <v>4617.0217119999998</v>
      </c>
      <c r="U180" s="147">
        <f t="shared" si="129"/>
        <v>4217.0217119999998</v>
      </c>
    </row>
    <row r="181" spans="1:21" s="72" customFormat="1" x14ac:dyDescent="0.25">
      <c r="A181" s="33">
        <v>90</v>
      </c>
      <c r="B181" s="67" t="s">
        <v>41</v>
      </c>
      <c r="C181" s="68" t="s">
        <v>83</v>
      </c>
      <c r="D181" s="12">
        <v>15</v>
      </c>
      <c r="E181" s="69">
        <v>214.1</v>
      </c>
      <c r="F181" s="69">
        <f t="shared" si="115"/>
        <v>3211.5</v>
      </c>
      <c r="G181" s="69">
        <v>400</v>
      </c>
      <c r="H181" s="69"/>
      <c r="I181" s="69">
        <f>VLOOKUP($F$181,Tabisr,1)</f>
        <v>2422.81</v>
      </c>
      <c r="J181" s="70">
        <f t="shared" si="116"/>
        <v>788.69</v>
      </c>
      <c r="K181" s="71">
        <f>VLOOKUP($F$181,Tabisr,4)</f>
        <v>0.10879999999999999</v>
      </c>
      <c r="L181" s="69">
        <f>(F181-2077.51)*10.88%</f>
        <v>123.37811199999999</v>
      </c>
      <c r="M181" s="69">
        <v>121.95</v>
      </c>
      <c r="N181" s="69">
        <f t="shared" si="117"/>
        <v>245.32811199999998</v>
      </c>
      <c r="O181" s="69">
        <f>VLOOKUP($F$181,Tabsub,3)</f>
        <v>125.1</v>
      </c>
      <c r="P181" s="69"/>
      <c r="Q181" s="69"/>
      <c r="R181" s="69"/>
      <c r="S181" s="69"/>
      <c r="T181" s="70">
        <f t="shared" si="118"/>
        <v>3491.2718879999998</v>
      </c>
      <c r="U181" s="70">
        <f t="shared" si="119"/>
        <v>3091.2718879999998</v>
      </c>
    </row>
    <row r="182" spans="1:21" s="72" customFormat="1" x14ac:dyDescent="0.25">
      <c r="A182" s="36"/>
      <c r="B182" s="80"/>
      <c r="C182" s="81"/>
      <c r="D182" s="82"/>
      <c r="E182" s="82"/>
      <c r="F182" s="83">
        <f>+SUM(F172:F181)</f>
        <v>42996.750000000007</v>
      </c>
      <c r="G182" s="83">
        <f>+SUM(G172:G181)</f>
        <v>3200</v>
      </c>
      <c r="H182" s="83">
        <f t="shared" ref="H182:S182" si="130">+SUM(H172:H181)</f>
        <v>0</v>
      </c>
      <c r="I182" s="83" t="e">
        <f t="shared" si="130"/>
        <v>#N/A</v>
      </c>
      <c r="J182" s="83" t="e">
        <f t="shared" si="130"/>
        <v>#N/A</v>
      </c>
      <c r="K182" s="83" t="e">
        <f t="shared" si="130"/>
        <v>#N/A</v>
      </c>
      <c r="L182" s="83">
        <f t="shared" si="130"/>
        <v>1587.1701599999997</v>
      </c>
      <c r="M182" s="83">
        <f t="shared" si="130"/>
        <v>2997.3</v>
      </c>
      <c r="N182" s="83">
        <f t="shared" si="130"/>
        <v>4584.2877600000002</v>
      </c>
      <c r="O182" s="83">
        <f t="shared" si="130"/>
        <v>125.1</v>
      </c>
      <c r="P182" s="83">
        <f t="shared" si="130"/>
        <v>0</v>
      </c>
      <c r="Q182" s="83">
        <f t="shared" si="130"/>
        <v>700</v>
      </c>
      <c r="R182" s="83">
        <f t="shared" si="130"/>
        <v>0</v>
      </c>
      <c r="S182" s="83">
        <f t="shared" si="130"/>
        <v>0</v>
      </c>
      <c r="T182" s="83">
        <f>+SUM(T172:T181)</f>
        <v>41037.562240000007</v>
      </c>
      <c r="U182" s="83">
        <f>+SUM(U172:U181)</f>
        <v>37837.562239999999</v>
      </c>
    </row>
    <row r="183" spans="1:21" s="72" customFormat="1" x14ac:dyDescent="0.25">
      <c r="A183" s="36"/>
      <c r="B183" s="80"/>
      <c r="C183" s="81"/>
      <c r="D183" s="82"/>
      <c r="E183" s="82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</row>
    <row r="184" spans="1:21" s="72" customFormat="1" x14ac:dyDescent="0.25">
      <c r="A184" s="192" t="s">
        <v>210</v>
      </c>
      <c r="B184" s="193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4"/>
    </row>
    <row r="185" spans="1:21" s="72" customFormat="1" ht="24" x14ac:dyDescent="0.25">
      <c r="A185" s="32" t="s">
        <v>57</v>
      </c>
      <c r="B185" s="32" t="s">
        <v>13</v>
      </c>
      <c r="C185" s="32" t="s">
        <v>68</v>
      </c>
      <c r="D185" s="32" t="s">
        <v>21</v>
      </c>
      <c r="E185" s="32" t="s">
        <v>15</v>
      </c>
      <c r="F185" s="32" t="s">
        <v>14</v>
      </c>
      <c r="G185" s="32" t="s">
        <v>54</v>
      </c>
      <c r="H185" s="32" t="s">
        <v>60</v>
      </c>
      <c r="I185" s="49" t="s">
        <v>160</v>
      </c>
      <c r="J185" s="49" t="s">
        <v>161</v>
      </c>
      <c r="K185" s="49" t="s">
        <v>162</v>
      </c>
      <c r="L185" s="49" t="s">
        <v>163</v>
      </c>
      <c r="M185" s="32" t="s">
        <v>164</v>
      </c>
      <c r="N185" s="32" t="s">
        <v>55</v>
      </c>
      <c r="O185" s="32" t="s">
        <v>56</v>
      </c>
      <c r="P185" s="32" t="s">
        <v>16</v>
      </c>
      <c r="Q185" s="32" t="s">
        <v>242</v>
      </c>
      <c r="R185" s="32" t="s">
        <v>59</v>
      </c>
      <c r="S185" s="32" t="s">
        <v>66</v>
      </c>
      <c r="T185" s="32" t="s">
        <v>64</v>
      </c>
      <c r="U185" s="32" t="s">
        <v>65</v>
      </c>
    </row>
    <row r="186" spans="1:21" s="72" customFormat="1" ht="22.9" customHeight="1" x14ac:dyDescent="0.25">
      <c r="A186" s="33">
        <v>91</v>
      </c>
      <c r="B186" s="67" t="s">
        <v>0</v>
      </c>
      <c r="C186" s="67" t="s">
        <v>134</v>
      </c>
      <c r="D186" s="12">
        <v>15</v>
      </c>
      <c r="E186" s="69">
        <v>661.33</v>
      </c>
      <c r="F186" s="69">
        <f t="shared" ref="F186:F194" si="131">D186*E186</f>
        <v>9919.9500000000007</v>
      </c>
      <c r="G186" s="69"/>
      <c r="H186" s="69"/>
      <c r="I186" s="69">
        <f>VLOOKUP($F$186,Tabisr,1)</f>
        <v>5925.91</v>
      </c>
      <c r="J186" s="70">
        <f>+F186-I186</f>
        <v>3994.0400000000009</v>
      </c>
      <c r="K186" s="71">
        <f>VLOOKUP($F$186,Tabisr,4)</f>
        <v>0.21360000000000001</v>
      </c>
      <c r="L186" s="69">
        <f>(F186-5081.01)*21.36%</f>
        <v>1033.5975840000001</v>
      </c>
      <c r="M186" s="69">
        <v>538.20000000000005</v>
      </c>
      <c r="N186" s="69">
        <f t="shared" ref="N186" si="132">L186+M186</f>
        <v>1571.7975840000001</v>
      </c>
      <c r="O186" s="69">
        <f>VLOOKUP($F$186,Tabsub,3)</f>
        <v>0</v>
      </c>
      <c r="P186" s="69"/>
      <c r="Q186" s="69"/>
      <c r="R186" s="69"/>
      <c r="S186" s="69"/>
      <c r="T186" s="70">
        <f t="shared" ref="T186:T194" si="133">F186+G186+H186-N186+O186-P186-Q186-R186-S186</f>
        <v>8348.1524160000008</v>
      </c>
      <c r="U186" s="70">
        <f t="shared" ref="U186:U194" si="134">T186-G186</f>
        <v>8348.1524160000008</v>
      </c>
    </row>
    <row r="187" spans="1:21" s="72" customFormat="1" x14ac:dyDescent="0.25">
      <c r="A187" s="33">
        <v>92</v>
      </c>
      <c r="B187" s="67" t="s">
        <v>39</v>
      </c>
      <c r="C187" s="68" t="s">
        <v>70</v>
      </c>
      <c r="D187" s="12">
        <v>15</v>
      </c>
      <c r="E187" s="69">
        <v>263.56</v>
      </c>
      <c r="F187" s="69">
        <f t="shared" si="131"/>
        <v>3953.4</v>
      </c>
      <c r="G187" s="69">
        <v>400</v>
      </c>
      <c r="H187" s="69"/>
      <c r="I187" s="69">
        <f>VLOOKUP($F$187,Tabisr,1)</f>
        <v>2422.81</v>
      </c>
      <c r="J187" s="70">
        <f>+F187-I187</f>
        <v>1530.5900000000001</v>
      </c>
      <c r="K187" s="71">
        <f>VLOOKUP($F$187,Tabisr,4)</f>
        <v>0.10879999999999999</v>
      </c>
      <c r="L187" s="69">
        <f>(F187-3651.01)*16%+0.18</f>
        <v>48.562399999999982</v>
      </c>
      <c r="M187" s="69">
        <v>293.25</v>
      </c>
      <c r="N187" s="69">
        <v>341.63</v>
      </c>
      <c r="O187" s="69">
        <f>VLOOKUP($F$187,Tabsub,3)</f>
        <v>0</v>
      </c>
      <c r="P187" s="69"/>
      <c r="Q187" s="69"/>
      <c r="R187" s="69"/>
      <c r="S187" s="69"/>
      <c r="T187" s="70">
        <f t="shared" si="133"/>
        <v>4011.7699999999995</v>
      </c>
      <c r="U187" s="70">
        <f t="shared" si="134"/>
        <v>3611.7699999999995</v>
      </c>
    </row>
    <row r="188" spans="1:21" s="72" customFormat="1" x14ac:dyDescent="0.25">
      <c r="A188" s="33">
        <v>93</v>
      </c>
      <c r="B188" s="67" t="s">
        <v>37</v>
      </c>
      <c r="C188" s="68" t="s">
        <v>87</v>
      </c>
      <c r="D188" s="12">
        <v>15</v>
      </c>
      <c r="E188" s="69">
        <v>220.57</v>
      </c>
      <c r="F188" s="69">
        <f t="shared" si="131"/>
        <v>3308.5499999999997</v>
      </c>
      <c r="G188" s="69">
        <v>400</v>
      </c>
      <c r="H188" s="69">
        <f>E188*4</f>
        <v>882.28</v>
      </c>
      <c r="I188" s="69">
        <f t="shared" ref="I188:I194" si="135">VLOOKUP($F$188,Tabisr,1)</f>
        <v>2422.81</v>
      </c>
      <c r="J188" s="70">
        <f>+F188-I188</f>
        <v>885.73999999999978</v>
      </c>
      <c r="K188" s="71">
        <f t="shared" ref="K188:K194" si="136">VLOOKUP($F$188,Tabisr,4)</f>
        <v>0.10879999999999999</v>
      </c>
      <c r="L188" s="69">
        <f t="shared" ref="L188:L194" si="137">(F188-2077.51)*10.88%</f>
        <v>133.93715199999997</v>
      </c>
      <c r="M188" s="69">
        <v>121.95</v>
      </c>
      <c r="N188" s="69">
        <v>237.77</v>
      </c>
      <c r="O188" s="69">
        <f t="shared" ref="O188:O194" si="138">VLOOKUP($F$188,Tabsub,3)</f>
        <v>125.1</v>
      </c>
      <c r="P188" s="69"/>
      <c r="Q188" s="247">
        <v>1090</v>
      </c>
      <c r="R188" s="69"/>
      <c r="S188" s="69"/>
      <c r="T188" s="70">
        <f t="shared" si="133"/>
        <v>3388.16</v>
      </c>
      <c r="U188" s="70">
        <f t="shared" si="134"/>
        <v>2988.16</v>
      </c>
    </row>
    <row r="189" spans="1:21" s="72" customFormat="1" x14ac:dyDescent="0.25">
      <c r="A189" s="33">
        <v>94</v>
      </c>
      <c r="B189" s="67" t="s">
        <v>173</v>
      </c>
      <c r="C189" s="68" t="s">
        <v>87</v>
      </c>
      <c r="D189" s="12">
        <v>15</v>
      </c>
      <c r="E189" s="69">
        <v>220.57300000000001</v>
      </c>
      <c r="F189" s="69">
        <f t="shared" si="131"/>
        <v>3308.5950000000003</v>
      </c>
      <c r="G189" s="69">
        <v>400</v>
      </c>
      <c r="H189" s="69"/>
      <c r="I189" s="69">
        <f t="shared" si="135"/>
        <v>2422.81</v>
      </c>
      <c r="J189" s="70">
        <f>+F189-I189</f>
        <v>885.78500000000031</v>
      </c>
      <c r="K189" s="71">
        <f t="shared" si="136"/>
        <v>0.10879999999999999</v>
      </c>
      <c r="L189" s="69">
        <f t="shared" si="137"/>
        <v>133.942048</v>
      </c>
      <c r="M189" s="69">
        <v>121.95</v>
      </c>
      <c r="N189" s="69">
        <v>237.77</v>
      </c>
      <c r="O189" s="69">
        <f t="shared" si="138"/>
        <v>125.1</v>
      </c>
      <c r="P189" s="69"/>
      <c r="Q189" s="247">
        <v>1290</v>
      </c>
      <c r="R189" s="69"/>
      <c r="S189" s="69"/>
      <c r="T189" s="70">
        <f t="shared" si="133"/>
        <v>2305.9250000000002</v>
      </c>
      <c r="U189" s="70">
        <f t="shared" si="134"/>
        <v>1905.9250000000002</v>
      </c>
    </row>
    <row r="190" spans="1:21" s="72" customFormat="1" x14ac:dyDescent="0.25">
      <c r="A190" s="33">
        <v>95</v>
      </c>
      <c r="B190" s="67" t="s">
        <v>431</v>
      </c>
      <c r="C190" s="68" t="s">
        <v>87</v>
      </c>
      <c r="D190" s="12">
        <v>15</v>
      </c>
      <c r="E190" s="69">
        <v>220.57300000000001</v>
      </c>
      <c r="F190" s="69">
        <f t="shared" ref="F190" si="139">D190*E190</f>
        <v>3308.5950000000003</v>
      </c>
      <c r="G190" s="69">
        <v>400</v>
      </c>
      <c r="H190" s="69"/>
      <c r="I190" s="69">
        <f t="shared" si="135"/>
        <v>2422.81</v>
      </c>
      <c r="J190" s="70">
        <f>+F190-I190</f>
        <v>885.78500000000031</v>
      </c>
      <c r="K190" s="71">
        <f t="shared" si="136"/>
        <v>0.10879999999999999</v>
      </c>
      <c r="L190" s="69">
        <f t="shared" ref="L190" si="140">(F190-2077.51)*10.88%</f>
        <v>133.942048</v>
      </c>
      <c r="M190" s="69">
        <v>121.95</v>
      </c>
      <c r="N190" s="69">
        <v>237.77</v>
      </c>
      <c r="O190" s="69">
        <f t="shared" si="138"/>
        <v>125.1</v>
      </c>
      <c r="P190" s="69"/>
      <c r="Q190" s="246"/>
      <c r="R190" s="69"/>
      <c r="S190" s="69"/>
      <c r="T190" s="70">
        <f t="shared" ref="T190" si="141">F190+G190+H190-N190+O190-P190-Q190-R190-S190</f>
        <v>3595.9250000000002</v>
      </c>
      <c r="U190" s="70">
        <f t="shared" ref="U190" si="142">T190-G190</f>
        <v>3195.9250000000002</v>
      </c>
    </row>
    <row r="191" spans="1:21" s="72" customFormat="1" x14ac:dyDescent="0.25">
      <c r="A191" s="33">
        <v>96</v>
      </c>
      <c r="B191" s="67" t="s">
        <v>169</v>
      </c>
      <c r="C191" s="68" t="s">
        <v>87</v>
      </c>
      <c r="D191" s="12">
        <v>15</v>
      </c>
      <c r="E191" s="69">
        <v>220.57300000000001</v>
      </c>
      <c r="F191" s="69">
        <f>D191*E191</f>
        <v>3308.5950000000003</v>
      </c>
      <c r="G191" s="69">
        <v>400</v>
      </c>
      <c r="H191" s="69">
        <f>E191*4</f>
        <v>882.29200000000003</v>
      </c>
      <c r="I191" s="69">
        <f t="shared" si="135"/>
        <v>2422.81</v>
      </c>
      <c r="J191" s="70">
        <f t="shared" ref="J191:J194" si="143">+F191-I191</f>
        <v>885.78500000000031</v>
      </c>
      <c r="K191" s="71">
        <f t="shared" si="136"/>
        <v>0.10879999999999999</v>
      </c>
      <c r="L191" s="69">
        <f t="shared" si="137"/>
        <v>133.942048</v>
      </c>
      <c r="M191" s="69">
        <v>121.95</v>
      </c>
      <c r="N191" s="69">
        <v>237.77</v>
      </c>
      <c r="O191" s="69">
        <f t="shared" si="138"/>
        <v>125.1</v>
      </c>
      <c r="P191" s="69"/>
      <c r="Q191" s="246"/>
      <c r="R191" s="69"/>
      <c r="S191" s="69"/>
      <c r="T191" s="70">
        <f>F191+G191+H191-N191+O191-P191-Q191-R191-S191</f>
        <v>4478.2170000000006</v>
      </c>
      <c r="U191" s="70">
        <f t="shared" si="134"/>
        <v>4078.2170000000006</v>
      </c>
    </row>
    <row r="192" spans="1:21" s="72" customFormat="1" x14ac:dyDescent="0.25">
      <c r="A192" s="35">
        <v>97</v>
      </c>
      <c r="B192" s="57" t="s">
        <v>244</v>
      </c>
      <c r="C192" s="58" t="s">
        <v>87</v>
      </c>
      <c r="D192" s="14"/>
      <c r="E192" s="59"/>
      <c r="F192" s="59"/>
      <c r="G192" s="59"/>
      <c r="H192" s="59"/>
      <c r="I192" s="59"/>
      <c r="J192" s="61"/>
      <c r="K192" s="62"/>
      <c r="L192" s="59"/>
      <c r="M192" s="59"/>
      <c r="N192" s="59"/>
      <c r="O192" s="59"/>
      <c r="P192" s="59"/>
      <c r="Q192" s="254"/>
      <c r="R192" s="59"/>
      <c r="S192" s="59"/>
      <c r="T192" s="61"/>
      <c r="U192" s="61"/>
    </row>
    <row r="193" spans="1:21" s="72" customFormat="1" x14ac:dyDescent="0.25">
      <c r="A193" s="33">
        <v>98</v>
      </c>
      <c r="B193" s="67" t="s">
        <v>333</v>
      </c>
      <c r="C193" s="68" t="s">
        <v>87</v>
      </c>
      <c r="D193" s="12">
        <v>15</v>
      </c>
      <c r="E193" s="69">
        <v>220.57300000000001</v>
      </c>
      <c r="F193" s="69">
        <f>D193*E193</f>
        <v>3308.5950000000003</v>
      </c>
      <c r="G193" s="69">
        <v>400</v>
      </c>
      <c r="H193" s="69">
        <f>E193*4</f>
        <v>882.29200000000003</v>
      </c>
      <c r="I193" s="69">
        <f t="shared" si="135"/>
        <v>2422.81</v>
      </c>
      <c r="J193" s="70">
        <f t="shared" si="143"/>
        <v>885.78500000000031</v>
      </c>
      <c r="K193" s="71">
        <f t="shared" si="136"/>
        <v>0.10879999999999999</v>
      </c>
      <c r="L193" s="69">
        <f t="shared" si="137"/>
        <v>133.942048</v>
      </c>
      <c r="M193" s="69">
        <v>121.95</v>
      </c>
      <c r="N193" s="69">
        <v>237.77</v>
      </c>
      <c r="O193" s="69">
        <f t="shared" si="138"/>
        <v>125.1</v>
      </c>
      <c r="P193" s="69"/>
      <c r="Q193" s="247">
        <v>500</v>
      </c>
      <c r="R193" s="69"/>
      <c r="S193" s="69"/>
      <c r="T193" s="70">
        <f>F193+G193+H193-N193+O193-P193-Q193-R193-S193</f>
        <v>3978.2170000000006</v>
      </c>
      <c r="U193" s="70">
        <f t="shared" si="134"/>
        <v>3578.2170000000006</v>
      </c>
    </row>
    <row r="194" spans="1:21" s="72" customFormat="1" x14ac:dyDescent="0.25">
      <c r="A194" s="33">
        <v>99</v>
      </c>
      <c r="B194" s="67" t="s">
        <v>38</v>
      </c>
      <c r="C194" s="68" t="s">
        <v>87</v>
      </c>
      <c r="D194" s="12">
        <v>15</v>
      </c>
      <c r="E194" s="69">
        <v>220.57300000000001</v>
      </c>
      <c r="F194" s="69">
        <f t="shared" si="131"/>
        <v>3308.5950000000003</v>
      </c>
      <c r="G194" s="69">
        <v>400</v>
      </c>
      <c r="H194" s="69"/>
      <c r="I194" s="69">
        <f t="shared" si="135"/>
        <v>2422.81</v>
      </c>
      <c r="J194" s="70">
        <f t="shared" si="143"/>
        <v>885.78500000000031</v>
      </c>
      <c r="K194" s="71">
        <f t="shared" si="136"/>
        <v>0.10879999999999999</v>
      </c>
      <c r="L194" s="69">
        <f t="shared" si="137"/>
        <v>133.942048</v>
      </c>
      <c r="M194" s="69">
        <v>121.95</v>
      </c>
      <c r="N194" s="69">
        <v>237.77</v>
      </c>
      <c r="O194" s="69">
        <f t="shared" si="138"/>
        <v>125.1</v>
      </c>
      <c r="P194" s="69"/>
      <c r="Q194" s="69"/>
      <c r="R194" s="69"/>
      <c r="S194" s="69"/>
      <c r="T194" s="70">
        <f t="shared" si="133"/>
        <v>3595.9250000000002</v>
      </c>
      <c r="U194" s="70">
        <f t="shared" si="134"/>
        <v>3195.9250000000002</v>
      </c>
    </row>
    <row r="195" spans="1:21" s="72" customFormat="1" x14ac:dyDescent="0.25">
      <c r="A195" s="36"/>
      <c r="B195" s="97"/>
      <c r="C195" s="73"/>
      <c r="D195" s="13"/>
      <c r="E195" s="64"/>
      <c r="F195" s="65">
        <f>+SUM(F186:F194)</f>
        <v>33724.875000000007</v>
      </c>
      <c r="G195" s="65">
        <f>+SUM(G186:G194)</f>
        <v>2800</v>
      </c>
      <c r="H195" s="65">
        <f>+SUM(H186:H194)</f>
        <v>2646.864</v>
      </c>
      <c r="I195" s="65">
        <f t="shared" ref="I195:R195" si="144">+SUM(I186:I194)</f>
        <v>22885.58</v>
      </c>
      <c r="J195" s="65">
        <f t="shared" si="144"/>
        <v>10839.295</v>
      </c>
      <c r="K195" s="65">
        <f t="shared" si="144"/>
        <v>0.97520000000000007</v>
      </c>
      <c r="L195" s="65">
        <f t="shared" si="144"/>
        <v>1885.8073759999997</v>
      </c>
      <c r="M195" s="65">
        <f t="shared" si="144"/>
        <v>1563.1500000000003</v>
      </c>
      <c r="N195" s="65">
        <f>+SUM(N186:N194)</f>
        <v>3340.0475839999999</v>
      </c>
      <c r="O195" s="65">
        <f>+SUM(O186:O194)</f>
        <v>750.6</v>
      </c>
      <c r="P195" s="65">
        <f>+SUM(P186:P194)</f>
        <v>0</v>
      </c>
      <c r="Q195" s="65">
        <f>+SUM(Q186:Q194)</f>
        <v>2880</v>
      </c>
      <c r="R195" s="65">
        <f t="shared" si="144"/>
        <v>0</v>
      </c>
      <c r="S195" s="65">
        <f>+SUM(S186:S194)</f>
        <v>0</v>
      </c>
      <c r="T195" s="65">
        <f>+SUM(T186:T194)</f>
        <v>33702.291416</v>
      </c>
      <c r="U195" s="65">
        <f>+SUM(U186:U194)</f>
        <v>30902.291416</v>
      </c>
    </row>
    <row r="196" spans="1:21" s="72" customFormat="1" x14ac:dyDescent="0.25">
      <c r="A196" s="36"/>
      <c r="B196" s="97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98"/>
      <c r="U196" s="82"/>
    </row>
    <row r="197" spans="1:21" s="72" customFormat="1" x14ac:dyDescent="0.25">
      <c r="A197" s="192" t="s">
        <v>396</v>
      </c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4"/>
    </row>
    <row r="198" spans="1:21" s="72" customFormat="1" ht="24" x14ac:dyDescent="0.25">
      <c r="A198" s="32" t="s">
        <v>57</v>
      </c>
      <c r="B198" s="32" t="s">
        <v>13</v>
      </c>
      <c r="C198" s="32" t="s">
        <v>68</v>
      </c>
      <c r="D198" s="32" t="s">
        <v>21</v>
      </c>
      <c r="E198" s="32" t="s">
        <v>15</v>
      </c>
      <c r="F198" s="32" t="s">
        <v>14</v>
      </c>
      <c r="G198" s="32" t="s">
        <v>54</v>
      </c>
      <c r="H198" s="32" t="s">
        <v>60</v>
      </c>
      <c r="I198" s="49" t="s">
        <v>160</v>
      </c>
      <c r="J198" s="49" t="s">
        <v>161</v>
      </c>
      <c r="K198" s="49" t="s">
        <v>162</v>
      </c>
      <c r="L198" s="49" t="s">
        <v>163</v>
      </c>
      <c r="M198" s="32" t="s">
        <v>164</v>
      </c>
      <c r="N198" s="32" t="s">
        <v>55</v>
      </c>
      <c r="O198" s="32" t="s">
        <v>56</v>
      </c>
      <c r="P198" s="32" t="s">
        <v>16</v>
      </c>
      <c r="Q198" s="32" t="s">
        <v>242</v>
      </c>
      <c r="R198" s="32" t="s">
        <v>59</v>
      </c>
      <c r="S198" s="32" t="s">
        <v>66</v>
      </c>
      <c r="T198" s="32" t="s">
        <v>64</v>
      </c>
      <c r="U198" s="32" t="s">
        <v>65</v>
      </c>
    </row>
    <row r="199" spans="1:21" s="72" customFormat="1" x14ac:dyDescent="0.25">
      <c r="A199" s="33">
        <v>100</v>
      </c>
      <c r="B199" s="67" t="s">
        <v>267</v>
      </c>
      <c r="C199" s="67" t="s">
        <v>166</v>
      </c>
      <c r="D199" s="12">
        <v>15</v>
      </c>
      <c r="E199" s="69">
        <v>661.33</v>
      </c>
      <c r="F199" s="69">
        <f>D199*E199</f>
        <v>9919.9500000000007</v>
      </c>
      <c r="G199" s="69"/>
      <c r="H199" s="33"/>
      <c r="I199" s="69">
        <f>VLOOKUP($F$199,Tabisr,1)</f>
        <v>5925.91</v>
      </c>
      <c r="J199" s="70">
        <f t="shared" ref="J199:J203" si="145">+F199-I199</f>
        <v>3994.0400000000009</v>
      </c>
      <c r="K199" s="71">
        <f>VLOOKUP($F$199,Tabisr,4)</f>
        <v>0.21360000000000001</v>
      </c>
      <c r="L199" s="69">
        <f>(F199-5081.01)*21.36%</f>
        <v>1033.5975840000001</v>
      </c>
      <c r="M199" s="69">
        <v>538.20000000000005</v>
      </c>
      <c r="N199" s="69">
        <f>N186</f>
        <v>1571.7975840000001</v>
      </c>
      <c r="O199" s="69">
        <f>VLOOKUP($F$199,Tabsub,3)</f>
        <v>0</v>
      </c>
      <c r="P199" s="69"/>
      <c r="Q199" s="69"/>
      <c r="R199" s="69"/>
      <c r="S199" s="69"/>
      <c r="T199" s="70">
        <f t="shared" ref="T199:T203" si="146">F199+G199+H199-N199+O199-P199-Q199-R199-S199</f>
        <v>8348.1524160000008</v>
      </c>
      <c r="U199" s="70">
        <f>T199-G199</f>
        <v>8348.1524160000008</v>
      </c>
    </row>
    <row r="200" spans="1:21" s="75" customFormat="1" x14ac:dyDescent="0.25">
      <c r="A200" s="40">
        <v>151</v>
      </c>
      <c r="B200" s="67" t="s">
        <v>377</v>
      </c>
      <c r="C200" s="67" t="s">
        <v>76</v>
      </c>
      <c r="D200" s="12">
        <v>15</v>
      </c>
      <c r="E200" s="69">
        <v>253.77</v>
      </c>
      <c r="F200" s="69">
        <f>D200*E200</f>
        <v>3806.55</v>
      </c>
      <c r="G200" s="69">
        <v>400</v>
      </c>
      <c r="H200" s="132"/>
      <c r="I200" s="69">
        <f>VLOOKUP($F$284,Tabisr,1)</f>
        <v>2422.81</v>
      </c>
      <c r="J200" s="70">
        <f t="shared" ref="J200" si="147">+F200-I200</f>
        <v>1383.7400000000002</v>
      </c>
      <c r="K200" s="71">
        <f>VLOOKUP($F$284,Tabisr,4)</f>
        <v>0.10879999999999999</v>
      </c>
      <c r="L200" s="69">
        <f t="shared" ref="L200" si="148">(F200-2077.51)*10.88%</f>
        <v>188.119552</v>
      </c>
      <c r="M200" s="69">
        <v>122.95</v>
      </c>
      <c r="N200" s="69">
        <v>315.45</v>
      </c>
      <c r="O200" s="69"/>
      <c r="P200" s="69"/>
      <c r="Q200" s="69"/>
      <c r="R200" s="69"/>
      <c r="S200" s="69"/>
      <c r="T200" s="70">
        <f t="shared" ref="T200" si="149">F200+G200+H200-N200+O200-P200-Q200-R200-S200</f>
        <v>3891.1000000000004</v>
      </c>
      <c r="U200" s="70">
        <f t="shared" ref="U200" si="150">T200-G200</f>
        <v>3491.1000000000004</v>
      </c>
    </row>
    <row r="201" spans="1:21" s="72" customFormat="1" x14ac:dyDescent="0.25">
      <c r="A201" s="33">
        <v>103</v>
      </c>
      <c r="B201" s="67" t="s">
        <v>24</v>
      </c>
      <c r="C201" s="68" t="s">
        <v>70</v>
      </c>
      <c r="D201" s="33">
        <v>15</v>
      </c>
      <c r="E201" s="69">
        <v>312.26</v>
      </c>
      <c r="F201" s="133">
        <f>D201*E201</f>
        <v>4683.8999999999996</v>
      </c>
      <c r="G201" s="52">
        <v>400</v>
      </c>
      <c r="H201" s="52"/>
      <c r="I201" s="69">
        <f>VLOOKUP($F$48,Tabisr,1)</f>
        <v>2422.81</v>
      </c>
      <c r="J201" s="70">
        <f t="shared" si="145"/>
        <v>2261.0899999999997</v>
      </c>
      <c r="K201" s="71">
        <f>VLOOKUP($F$48,Tabisr,4)</f>
        <v>0.10879999999999999</v>
      </c>
      <c r="L201" s="69">
        <f>(F201-3651.01)*16%</f>
        <v>165.2623999999999</v>
      </c>
      <c r="M201" s="69">
        <v>293.25</v>
      </c>
      <c r="N201" s="52">
        <v>466.88</v>
      </c>
      <c r="O201" s="69"/>
      <c r="P201" s="52"/>
      <c r="Q201" s="52"/>
      <c r="R201" s="52"/>
      <c r="S201" s="52"/>
      <c r="T201" s="70">
        <f t="shared" si="146"/>
        <v>4617.0199999999995</v>
      </c>
      <c r="U201" s="70">
        <f t="shared" ref="U201:U203" si="151">T201-G201</f>
        <v>4217.0199999999995</v>
      </c>
    </row>
    <row r="202" spans="1:21" s="72" customFormat="1" x14ac:dyDescent="0.25">
      <c r="A202" s="33">
        <v>105</v>
      </c>
      <c r="B202" s="67" t="s">
        <v>337</v>
      </c>
      <c r="C202" s="68" t="s">
        <v>92</v>
      </c>
      <c r="D202" s="33">
        <v>15</v>
      </c>
      <c r="E202" s="69">
        <v>358.47</v>
      </c>
      <c r="F202" s="69">
        <f t="shared" ref="F202:F208" si="152">D202*E202</f>
        <v>5377.05</v>
      </c>
      <c r="G202" s="69">
        <v>400</v>
      </c>
      <c r="H202" s="70"/>
      <c r="I202" s="69">
        <f>VLOOKUP($F$202,Tabisr,1)</f>
        <v>4949.5600000000004</v>
      </c>
      <c r="J202" s="70">
        <f t="shared" si="145"/>
        <v>427.48999999999978</v>
      </c>
      <c r="K202" s="71">
        <f>VLOOKUP($F$202,Tabisr,4)</f>
        <v>0.1792</v>
      </c>
      <c r="L202" s="69">
        <f>(F202-5081.011)*21.36%</f>
        <v>63.233930399999942</v>
      </c>
      <c r="M202" s="69">
        <v>538.20000000000005</v>
      </c>
      <c r="N202" s="69">
        <f t="shared" ref="N202:N208" si="153">L202+M202</f>
        <v>601.43393040000001</v>
      </c>
      <c r="O202" s="69">
        <f>VLOOKUP($F$202,Tabsub,3)</f>
        <v>0</v>
      </c>
      <c r="P202" s="69"/>
      <c r="Q202" s="69"/>
      <c r="R202" s="69"/>
      <c r="S202" s="69"/>
      <c r="T202" s="70">
        <f t="shared" si="146"/>
        <v>5175.6160696000006</v>
      </c>
      <c r="U202" s="70">
        <f t="shared" si="151"/>
        <v>4775.6160696000006</v>
      </c>
    </row>
    <row r="203" spans="1:21" s="72" customFormat="1" x14ac:dyDescent="0.25">
      <c r="A203" s="33">
        <v>106</v>
      </c>
      <c r="B203" s="67" t="s">
        <v>306</v>
      </c>
      <c r="C203" s="68" t="s">
        <v>92</v>
      </c>
      <c r="D203" s="33">
        <v>15</v>
      </c>
      <c r="E203" s="69">
        <v>358.47</v>
      </c>
      <c r="F203" s="69">
        <f>D203*E203</f>
        <v>5377.05</v>
      </c>
      <c r="G203" s="69">
        <v>400</v>
      </c>
      <c r="H203" s="70"/>
      <c r="I203" s="69">
        <f>VLOOKUP($F$202,Tabisr,1)</f>
        <v>4949.5600000000004</v>
      </c>
      <c r="J203" s="70">
        <f t="shared" si="145"/>
        <v>427.48999999999978</v>
      </c>
      <c r="K203" s="71">
        <f>VLOOKUP($F$202,Tabisr,4)</f>
        <v>0.1792</v>
      </c>
      <c r="L203" s="69">
        <f>(F203-5081.011)*21.36%</f>
        <v>63.233930399999942</v>
      </c>
      <c r="M203" s="69">
        <v>538.20000000000005</v>
      </c>
      <c r="N203" s="69">
        <f>L203+M203</f>
        <v>601.43393040000001</v>
      </c>
      <c r="O203" s="69">
        <f>VLOOKUP($F$202,Tabsub,3)</f>
        <v>0</v>
      </c>
      <c r="P203" s="69"/>
      <c r="Q203" s="69"/>
      <c r="R203" s="69"/>
      <c r="S203" s="69"/>
      <c r="T203" s="70">
        <f t="shared" si="146"/>
        <v>5175.6160696000006</v>
      </c>
      <c r="U203" s="70">
        <f t="shared" si="151"/>
        <v>4775.6160696000006</v>
      </c>
    </row>
    <row r="204" spans="1:21" s="72" customFormat="1" x14ac:dyDescent="0.25">
      <c r="A204" s="35">
        <v>110</v>
      </c>
      <c r="B204" s="57" t="s">
        <v>244</v>
      </c>
      <c r="C204" s="58" t="s">
        <v>93</v>
      </c>
      <c r="D204" s="35"/>
      <c r="E204" s="59"/>
      <c r="F204" s="59"/>
      <c r="G204" s="59"/>
      <c r="H204" s="59"/>
      <c r="I204" s="59"/>
      <c r="J204" s="61"/>
      <c r="K204" s="62"/>
      <c r="L204" s="59"/>
      <c r="M204" s="59"/>
      <c r="N204" s="59"/>
      <c r="O204" s="59"/>
      <c r="P204" s="93"/>
      <c r="Q204" s="93"/>
      <c r="R204" s="60"/>
      <c r="S204" s="60"/>
      <c r="T204" s="61"/>
      <c r="U204" s="61"/>
    </row>
    <row r="205" spans="1:21" s="72" customFormat="1" x14ac:dyDescent="0.25">
      <c r="A205" s="33">
        <v>111</v>
      </c>
      <c r="B205" s="67" t="s">
        <v>25</v>
      </c>
      <c r="C205" s="67" t="s">
        <v>188</v>
      </c>
      <c r="D205" s="12">
        <v>15</v>
      </c>
      <c r="E205" s="69">
        <v>414.83</v>
      </c>
      <c r="F205" s="69">
        <f>D205*E205</f>
        <v>6222.45</v>
      </c>
      <c r="G205" s="69">
        <v>400</v>
      </c>
      <c r="H205" s="33"/>
      <c r="I205" s="69">
        <f>VLOOKUP($F$95,Tabisr,1)</f>
        <v>5925.91</v>
      </c>
      <c r="J205" s="70">
        <f>+F205-I205</f>
        <v>296.53999999999996</v>
      </c>
      <c r="K205" s="71">
        <f>VLOOKUP($F$95,Tabisr,4)</f>
        <v>0.21360000000000001</v>
      </c>
      <c r="L205" s="69">
        <f>(F205-4244.01)*17.92%</f>
        <v>354.53644800000001</v>
      </c>
      <c r="M205" s="69">
        <v>388.05</v>
      </c>
      <c r="N205" s="69">
        <v>690.94</v>
      </c>
      <c r="O205" s="69"/>
      <c r="P205" s="33"/>
      <c r="Q205" s="33"/>
      <c r="R205" s="33"/>
      <c r="S205" s="37"/>
      <c r="T205" s="70">
        <f>F205+G205+H205-N205+O205-P205-Q205-R205-S205</f>
        <v>5931.51</v>
      </c>
      <c r="U205" s="70">
        <f>T205-G205</f>
        <v>5531.51</v>
      </c>
    </row>
    <row r="206" spans="1:21" s="72" customFormat="1" x14ac:dyDescent="0.25">
      <c r="A206" s="33">
        <v>112</v>
      </c>
      <c r="B206" s="78" t="s">
        <v>493</v>
      </c>
      <c r="C206" s="146" t="s">
        <v>220</v>
      </c>
      <c r="D206" s="41">
        <v>15</v>
      </c>
      <c r="E206" s="12">
        <v>263.56</v>
      </c>
      <c r="F206" s="69">
        <f t="shared" ref="F206" si="154">D206*E206</f>
        <v>3953.4</v>
      </c>
      <c r="G206" s="69">
        <v>400</v>
      </c>
      <c r="H206" s="41"/>
      <c r="I206" s="69">
        <f>VLOOKUP($F$27,Tabisr,1)</f>
        <v>2422.81</v>
      </c>
      <c r="J206" s="147">
        <f>+F206-I206</f>
        <v>1530.5900000000001</v>
      </c>
      <c r="K206" s="148">
        <f>VLOOKUP($F$27,Tabisr,4)</f>
        <v>0.10879999999999999</v>
      </c>
      <c r="L206" s="69">
        <f>(F206-3651.01)*16%</f>
        <v>48.382399999999983</v>
      </c>
      <c r="M206" s="69">
        <v>293.25</v>
      </c>
      <c r="N206" s="69">
        <f t="shared" ref="N206" si="155">L206+M206</f>
        <v>341.63239999999996</v>
      </c>
      <c r="O206" s="69">
        <v>0</v>
      </c>
      <c r="P206" s="69"/>
      <c r="Q206" s="69"/>
      <c r="R206" s="69"/>
      <c r="S206" s="69"/>
      <c r="T206" s="147">
        <f>F206+G206+H206-N206+O206-P206-Q206-R206-S206</f>
        <v>4011.7675999999997</v>
      </c>
      <c r="U206" s="147">
        <f>T206-G206</f>
        <v>3611.7675999999997</v>
      </c>
    </row>
    <row r="207" spans="1:21" s="72" customFormat="1" x14ac:dyDescent="0.25">
      <c r="A207" s="33">
        <v>113</v>
      </c>
      <c r="B207" s="67" t="s">
        <v>33</v>
      </c>
      <c r="C207" s="68" t="s">
        <v>187</v>
      </c>
      <c r="D207" s="33">
        <v>15</v>
      </c>
      <c r="E207" s="69">
        <v>263.56</v>
      </c>
      <c r="F207" s="69">
        <f t="shared" si="152"/>
        <v>3953.4</v>
      </c>
      <c r="G207" s="69">
        <v>400</v>
      </c>
      <c r="H207" s="69"/>
      <c r="I207" s="69">
        <f>VLOOKUP($F$207,Tabisr,1)</f>
        <v>2422.81</v>
      </c>
      <c r="J207" s="70">
        <f>+F207-I207</f>
        <v>1530.5900000000001</v>
      </c>
      <c r="K207" s="71">
        <f>VLOOKUP($F$207,Tabisr,4)</f>
        <v>0.10879999999999999</v>
      </c>
      <c r="L207" s="69">
        <f>(F207-3651.01)*16%</f>
        <v>48.382399999999983</v>
      </c>
      <c r="M207" s="69">
        <v>293.25</v>
      </c>
      <c r="N207" s="69">
        <f t="shared" si="153"/>
        <v>341.63239999999996</v>
      </c>
      <c r="O207" s="69">
        <f>VLOOKUP($F$207,Tabsub,3)</f>
        <v>0</v>
      </c>
      <c r="P207" s="69"/>
      <c r="Q207" s="69"/>
      <c r="R207" s="69"/>
      <c r="S207" s="69"/>
      <c r="T207" s="70">
        <f>F207+G207+H207-N207+O207-P207-Q207-R207-S207</f>
        <v>4011.7675999999997</v>
      </c>
      <c r="U207" s="70">
        <f>T207-G207</f>
        <v>3611.7675999999997</v>
      </c>
    </row>
    <row r="208" spans="1:21" s="75" customFormat="1" x14ac:dyDescent="0.25">
      <c r="A208" s="33">
        <v>114</v>
      </c>
      <c r="B208" s="67" t="s">
        <v>175</v>
      </c>
      <c r="C208" s="68" t="s">
        <v>90</v>
      </c>
      <c r="D208" s="33">
        <v>15</v>
      </c>
      <c r="E208" s="69">
        <v>263.56</v>
      </c>
      <c r="F208" s="69">
        <f t="shared" si="152"/>
        <v>3953.4</v>
      </c>
      <c r="G208" s="69">
        <v>400</v>
      </c>
      <c r="H208" s="69"/>
      <c r="I208" s="69">
        <f>VLOOKUP($F$207,Tabisr,1)</f>
        <v>2422.81</v>
      </c>
      <c r="J208" s="70">
        <f>+F208-I208</f>
        <v>1530.5900000000001</v>
      </c>
      <c r="K208" s="71">
        <f>VLOOKUP($F$207,Tabisr,4)</f>
        <v>0.10879999999999999</v>
      </c>
      <c r="L208" s="69">
        <f>(F208-3651.01)*16%</f>
        <v>48.382399999999983</v>
      </c>
      <c r="M208" s="69">
        <v>293.25</v>
      </c>
      <c r="N208" s="69">
        <f t="shared" si="153"/>
        <v>341.63239999999996</v>
      </c>
      <c r="O208" s="69">
        <f>VLOOKUP($F$207,Tabsub,3)</f>
        <v>0</v>
      </c>
      <c r="P208" s="69"/>
      <c r="Q208" s="247">
        <v>1620</v>
      </c>
      <c r="R208" s="69"/>
      <c r="S208" s="69"/>
      <c r="T208" s="70">
        <f>F208+G208+H208-N208+O208-P208-Q208-R208-S208</f>
        <v>2391.7675999999997</v>
      </c>
      <c r="U208" s="70">
        <f>T208-G208</f>
        <v>1991.7675999999997</v>
      </c>
    </row>
    <row r="209" spans="1:21" s="72" customFormat="1" x14ac:dyDescent="0.25">
      <c r="A209" s="36"/>
      <c r="B209" s="80"/>
      <c r="C209" s="81"/>
      <c r="D209" s="82"/>
      <c r="E209" s="82"/>
      <c r="F209" s="83">
        <f>+SUM(F199:F208)</f>
        <v>47247.15</v>
      </c>
      <c r="G209" s="131">
        <f>+SUM(G199:G208)</f>
        <v>3200</v>
      </c>
      <c r="H209" s="131">
        <f t="shared" ref="H209:U209" si="156">+SUM(H199:H208)</f>
        <v>0</v>
      </c>
      <c r="I209" s="131">
        <f t="shared" si="156"/>
        <v>33864.990000000005</v>
      </c>
      <c r="J209" s="131">
        <f t="shared" si="156"/>
        <v>13382.16</v>
      </c>
      <c r="K209" s="131">
        <f t="shared" si="156"/>
        <v>1.3296000000000001</v>
      </c>
      <c r="L209" s="131">
        <f t="shared" si="156"/>
        <v>2013.1310447999999</v>
      </c>
      <c r="M209" s="131">
        <f t="shared" si="156"/>
        <v>3298.6000000000004</v>
      </c>
      <c r="N209" s="131">
        <f t="shared" si="156"/>
        <v>5272.8326448000007</v>
      </c>
      <c r="O209" s="131">
        <f t="shared" si="156"/>
        <v>0</v>
      </c>
      <c r="P209" s="131">
        <f t="shared" si="156"/>
        <v>0</v>
      </c>
      <c r="Q209" s="131">
        <f t="shared" si="156"/>
        <v>1620</v>
      </c>
      <c r="R209" s="131">
        <f t="shared" si="156"/>
        <v>0</v>
      </c>
      <c r="S209" s="131">
        <f t="shared" si="156"/>
        <v>0</v>
      </c>
      <c r="T209" s="131">
        <f t="shared" si="156"/>
        <v>43554.317355200001</v>
      </c>
      <c r="U209" s="131">
        <f t="shared" si="156"/>
        <v>40354.317355200001</v>
      </c>
    </row>
    <row r="210" spans="1:21" s="72" customFormat="1" ht="13.9" customHeight="1" x14ac:dyDescent="0.25">
      <c r="A210" s="36"/>
      <c r="B210" s="80"/>
      <c r="C210" s="81"/>
      <c r="D210" s="82"/>
      <c r="E210" s="82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</row>
    <row r="211" spans="1:21" s="72" customFormat="1" x14ac:dyDescent="0.25">
      <c r="A211" s="192" t="s">
        <v>397</v>
      </c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4"/>
    </row>
    <row r="212" spans="1:21" s="72" customFormat="1" ht="24" x14ac:dyDescent="0.25">
      <c r="A212" s="32" t="s">
        <v>57</v>
      </c>
      <c r="B212" s="32" t="s">
        <v>13</v>
      </c>
      <c r="C212" s="32" t="s">
        <v>68</v>
      </c>
      <c r="D212" s="32" t="s">
        <v>21</v>
      </c>
      <c r="E212" s="32" t="s">
        <v>15</v>
      </c>
      <c r="F212" s="32" t="s">
        <v>14</v>
      </c>
      <c r="G212" s="32" t="s">
        <v>54</v>
      </c>
      <c r="H212" s="32" t="s">
        <v>60</v>
      </c>
      <c r="I212" s="49" t="s">
        <v>160</v>
      </c>
      <c r="J212" s="49" t="s">
        <v>161</v>
      </c>
      <c r="K212" s="49" t="s">
        <v>162</v>
      </c>
      <c r="L212" s="49" t="s">
        <v>163</v>
      </c>
      <c r="M212" s="32" t="s">
        <v>164</v>
      </c>
      <c r="N212" s="32" t="s">
        <v>55</v>
      </c>
      <c r="O212" s="32" t="s">
        <v>56</v>
      </c>
      <c r="P212" s="32" t="s">
        <v>16</v>
      </c>
      <c r="Q212" s="32" t="s">
        <v>242</v>
      </c>
      <c r="R212" s="32" t="s">
        <v>59</v>
      </c>
      <c r="S212" s="32" t="s">
        <v>66</v>
      </c>
      <c r="T212" s="32" t="s">
        <v>64</v>
      </c>
      <c r="U212" s="32" t="s">
        <v>65</v>
      </c>
    </row>
    <row r="213" spans="1:21" s="72" customFormat="1" ht="24" x14ac:dyDescent="0.25">
      <c r="A213" s="33">
        <v>101</v>
      </c>
      <c r="B213" s="67" t="s">
        <v>104</v>
      </c>
      <c r="C213" s="67" t="s">
        <v>398</v>
      </c>
      <c r="D213" s="12">
        <v>15</v>
      </c>
      <c r="E213" s="69">
        <v>661.33</v>
      </c>
      <c r="F213" s="69">
        <f>D213*E213</f>
        <v>9919.9500000000007</v>
      </c>
      <c r="G213" s="69"/>
      <c r="H213" s="33"/>
      <c r="I213" s="69">
        <f>VLOOKUP($F$199,Tabisr,1)</f>
        <v>5925.91</v>
      </c>
      <c r="J213" s="70">
        <f t="shared" ref="J213" si="157">+F213-I213</f>
        <v>3994.0400000000009</v>
      </c>
      <c r="K213" s="71">
        <f>VLOOKUP($F$199,Tabisr,4)</f>
        <v>0.21360000000000001</v>
      </c>
      <c r="L213" s="69">
        <f>(F213-5081.01)*21.36%</f>
        <v>1033.5975840000001</v>
      </c>
      <c r="M213" s="69">
        <v>538.20000000000005</v>
      </c>
      <c r="N213" s="69">
        <v>1571.8</v>
      </c>
      <c r="O213" s="69">
        <f>VLOOKUP($F$199,Tabsub,3)</f>
        <v>0</v>
      </c>
      <c r="P213" s="69"/>
      <c r="Q213" s="69"/>
      <c r="R213" s="69"/>
      <c r="S213" s="69"/>
      <c r="T213" s="70">
        <f t="shared" ref="T213" si="158">F213+G213+H213-N213+O213-P213-Q213-R213-S213</f>
        <v>8348.1500000000015</v>
      </c>
      <c r="U213" s="70">
        <f t="shared" ref="U213:U218" si="159">T213-G213</f>
        <v>8348.1500000000015</v>
      </c>
    </row>
    <row r="214" spans="1:21" s="72" customFormat="1" x14ac:dyDescent="0.25">
      <c r="A214" s="177">
        <v>102</v>
      </c>
      <c r="B214" s="182" t="s">
        <v>101</v>
      </c>
      <c r="C214" s="182" t="s">
        <v>263</v>
      </c>
      <c r="D214" s="178">
        <v>15</v>
      </c>
      <c r="E214" s="179">
        <v>414.83</v>
      </c>
      <c r="F214" s="179">
        <f>D214*E214</f>
        <v>6222.45</v>
      </c>
      <c r="G214" s="179">
        <v>400</v>
      </c>
      <c r="H214" s="177"/>
      <c r="I214" s="179">
        <f>VLOOKUP($F$95,Tabisr,1)</f>
        <v>5925.91</v>
      </c>
      <c r="J214" s="180">
        <f>+F214-I214</f>
        <v>296.53999999999996</v>
      </c>
      <c r="K214" s="181">
        <f>VLOOKUP($F$95,Tabisr,4)</f>
        <v>0.21360000000000001</v>
      </c>
      <c r="L214" s="179">
        <f>(F214-4244.01)*17.92%</f>
        <v>354.53644800000001</v>
      </c>
      <c r="M214" s="179">
        <v>388.05</v>
      </c>
      <c r="N214" s="179">
        <v>690.94</v>
      </c>
      <c r="O214" s="179"/>
      <c r="P214" s="177"/>
      <c r="Q214" s="177"/>
      <c r="R214" s="177"/>
      <c r="S214" s="183"/>
      <c r="T214" s="180">
        <f>F214+G214+H214-N214+O214-P214-Q214-R214-S214</f>
        <v>5931.51</v>
      </c>
      <c r="U214" s="180">
        <f>T214-G214</f>
        <v>5531.51</v>
      </c>
    </row>
    <row r="215" spans="1:21" s="72" customFormat="1" x14ac:dyDescent="0.25">
      <c r="A215" s="33">
        <v>104</v>
      </c>
      <c r="B215" s="67" t="s">
        <v>181</v>
      </c>
      <c r="C215" s="67" t="s">
        <v>70</v>
      </c>
      <c r="D215" s="33">
        <v>15</v>
      </c>
      <c r="E215" s="12">
        <v>263.56</v>
      </c>
      <c r="F215" s="69">
        <f>D215*E215</f>
        <v>3953.4</v>
      </c>
      <c r="G215" s="69">
        <v>400</v>
      </c>
      <c r="H215" s="33"/>
      <c r="I215" s="69">
        <f>VLOOKUP($F$27,Tabisr,1)</f>
        <v>2422.81</v>
      </c>
      <c r="J215" s="70">
        <f>+F215-I215</f>
        <v>1530.5900000000001</v>
      </c>
      <c r="K215" s="71">
        <f>VLOOKUP($F$27,Tabisr,4)</f>
        <v>0.10879999999999999</v>
      </c>
      <c r="L215" s="69">
        <f>(F215-3651.01)*16%</f>
        <v>48.382399999999983</v>
      </c>
      <c r="M215" s="69">
        <v>293.25</v>
      </c>
      <c r="N215" s="69">
        <f>M215+L215</f>
        <v>341.63239999999996</v>
      </c>
      <c r="O215" s="94"/>
      <c r="P215" s="94"/>
      <c r="Q215" s="94"/>
      <c r="R215" s="94"/>
      <c r="S215" s="94"/>
      <c r="T215" s="70">
        <f>F215+G215+H215-N215+O215-P215-Q215-R215-S215</f>
        <v>4011.7675999999997</v>
      </c>
      <c r="U215" s="95">
        <f t="shared" si="159"/>
        <v>3611.7675999999997</v>
      </c>
    </row>
    <row r="216" spans="1:21" s="72" customFormat="1" x14ac:dyDescent="0.25">
      <c r="A216" s="35">
        <v>115</v>
      </c>
      <c r="B216" s="57" t="s">
        <v>244</v>
      </c>
      <c r="C216" s="58" t="s">
        <v>94</v>
      </c>
      <c r="D216" s="35"/>
      <c r="E216" s="59"/>
      <c r="F216" s="59"/>
      <c r="G216" s="59"/>
      <c r="H216" s="59"/>
      <c r="I216" s="59"/>
      <c r="J216" s="61"/>
      <c r="K216" s="62"/>
      <c r="L216" s="59"/>
      <c r="M216" s="59"/>
      <c r="N216" s="59"/>
      <c r="O216" s="59"/>
      <c r="P216" s="60"/>
      <c r="Q216" s="60"/>
      <c r="R216" s="60"/>
      <c r="S216" s="60"/>
      <c r="T216" s="61"/>
      <c r="U216" s="61"/>
    </row>
    <row r="217" spans="1:21" s="72" customFormat="1" x14ac:dyDescent="0.25">
      <c r="A217" s="33">
        <v>108</v>
      </c>
      <c r="B217" s="67" t="s">
        <v>105</v>
      </c>
      <c r="C217" s="68" t="s">
        <v>92</v>
      </c>
      <c r="D217" s="33">
        <v>15</v>
      </c>
      <c r="E217" s="69">
        <v>358.47</v>
      </c>
      <c r="F217" s="69">
        <f>D217*E217</f>
        <v>5377.05</v>
      </c>
      <c r="G217" s="69">
        <v>400</v>
      </c>
      <c r="H217" s="33"/>
      <c r="I217" s="69">
        <f>VLOOKUP($F$202,Tabisr,1)</f>
        <v>4949.5600000000004</v>
      </c>
      <c r="J217" s="70">
        <f>+F217-I217</f>
        <v>427.48999999999978</v>
      </c>
      <c r="K217" s="71">
        <f>VLOOKUP($F$202,Tabisr,4)</f>
        <v>0.1792</v>
      </c>
      <c r="L217" s="69">
        <f>(F217-5081.011)*21.36%</f>
        <v>63.233930399999942</v>
      </c>
      <c r="M217" s="69">
        <v>538.20000000000005</v>
      </c>
      <c r="N217" s="69">
        <f>L217+M217</f>
        <v>601.43393040000001</v>
      </c>
      <c r="O217" s="69">
        <f>VLOOKUP($F$202,Tabsub,3)</f>
        <v>0</v>
      </c>
      <c r="P217" s="69"/>
      <c r="Q217" s="69"/>
      <c r="R217" s="69"/>
      <c r="S217" s="69"/>
      <c r="T217" s="70">
        <f>F217+G217+H217-N217+O217-P217-Q217-R217-S217</f>
        <v>5175.6160696000006</v>
      </c>
      <c r="U217" s="70">
        <f t="shared" si="159"/>
        <v>4775.6160696000006</v>
      </c>
    </row>
    <row r="218" spans="1:21" s="72" customFormat="1" x14ac:dyDescent="0.25">
      <c r="A218" s="33">
        <v>109</v>
      </c>
      <c r="B218" s="67" t="s">
        <v>260</v>
      </c>
      <c r="C218" s="67" t="s">
        <v>93</v>
      </c>
      <c r="D218" s="33">
        <v>15</v>
      </c>
      <c r="E218" s="69">
        <v>263.56</v>
      </c>
      <c r="F218" s="69">
        <f>D218*E218</f>
        <v>3953.4</v>
      </c>
      <c r="G218" s="69">
        <v>400</v>
      </c>
      <c r="H218" s="69"/>
      <c r="I218" s="69">
        <f>VLOOKUP($F$315,Tabisr,1)</f>
        <v>2422.81</v>
      </c>
      <c r="J218" s="70">
        <f>+F218-I218</f>
        <v>1530.5900000000001</v>
      </c>
      <c r="K218" s="71">
        <f>VLOOKUP($F$315,Tabisr,4)</f>
        <v>0.10879999999999999</v>
      </c>
      <c r="L218" s="69">
        <f>(F218-3651.01)*16%</f>
        <v>48.382399999999983</v>
      </c>
      <c r="M218" s="69">
        <v>293.25</v>
      </c>
      <c r="N218" s="69">
        <f>L218+M218</f>
        <v>341.63239999999996</v>
      </c>
      <c r="O218" s="69"/>
      <c r="P218" s="52"/>
      <c r="Q218" s="52"/>
      <c r="R218" s="134"/>
      <c r="S218" s="134"/>
      <c r="T218" s="70">
        <f>F218+G218+H218-N218+O218-P218-Q218-R218-S218</f>
        <v>4011.7675999999997</v>
      </c>
      <c r="U218" s="70">
        <f t="shared" si="159"/>
        <v>3611.7675999999997</v>
      </c>
    </row>
    <row r="219" spans="1:21" s="72" customFormat="1" x14ac:dyDescent="0.25">
      <c r="A219" s="36"/>
      <c r="B219" s="80"/>
      <c r="C219" s="81"/>
      <c r="D219" s="82"/>
      <c r="E219" s="123"/>
      <c r="F219" s="123">
        <f t="shared" ref="F219:U219" si="160">SUM(F213:F218)</f>
        <v>29426.250000000004</v>
      </c>
      <c r="G219" s="123">
        <f>SUM(G213:G218)</f>
        <v>1600</v>
      </c>
      <c r="H219" s="123">
        <f t="shared" si="160"/>
        <v>0</v>
      </c>
      <c r="I219" s="123">
        <f t="shared" si="160"/>
        <v>21647</v>
      </c>
      <c r="J219" s="123">
        <f t="shared" si="160"/>
        <v>7779.2500000000009</v>
      </c>
      <c r="K219" s="123">
        <f t="shared" si="160"/>
        <v>0.82400000000000007</v>
      </c>
      <c r="L219" s="123">
        <f t="shared" si="160"/>
        <v>1548.1327624</v>
      </c>
      <c r="M219" s="123">
        <f t="shared" si="160"/>
        <v>2050.9499999999998</v>
      </c>
      <c r="N219" s="123">
        <f t="shared" si="160"/>
        <v>3547.4387303999997</v>
      </c>
      <c r="O219" s="123">
        <f t="shared" si="160"/>
        <v>0</v>
      </c>
      <c r="P219" s="123">
        <f t="shared" si="160"/>
        <v>0</v>
      </c>
      <c r="Q219" s="123">
        <f t="shared" si="160"/>
        <v>0</v>
      </c>
      <c r="R219" s="123">
        <f t="shared" si="160"/>
        <v>0</v>
      </c>
      <c r="S219" s="123">
        <f t="shared" si="160"/>
        <v>0</v>
      </c>
      <c r="T219" s="123">
        <f t="shared" si="160"/>
        <v>27478.811269600003</v>
      </c>
      <c r="U219" s="123">
        <f t="shared" si="160"/>
        <v>25878.811269600003</v>
      </c>
    </row>
    <row r="220" spans="1:21" s="72" customFormat="1" x14ac:dyDescent="0.25">
      <c r="A220" s="36"/>
      <c r="B220" s="80"/>
      <c r="C220" s="81"/>
      <c r="D220" s="82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</row>
    <row r="221" spans="1:21" s="72" customFormat="1" x14ac:dyDescent="0.25">
      <c r="A221" s="36"/>
      <c r="B221" s="80"/>
      <c r="C221" s="81"/>
      <c r="D221" s="82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</row>
    <row r="222" spans="1:21" s="72" customFormat="1" x14ac:dyDescent="0.25">
      <c r="A222" s="195" t="s">
        <v>483</v>
      </c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7"/>
    </row>
    <row r="223" spans="1:21" s="72" customFormat="1" ht="24" x14ac:dyDescent="0.25">
      <c r="A223" s="32" t="s">
        <v>57</v>
      </c>
      <c r="B223" s="32" t="s">
        <v>13</v>
      </c>
      <c r="C223" s="32" t="s">
        <v>68</v>
      </c>
      <c r="D223" s="32" t="s">
        <v>21</v>
      </c>
      <c r="E223" s="32" t="s">
        <v>15</v>
      </c>
      <c r="F223" s="32" t="s">
        <v>14</v>
      </c>
      <c r="G223" s="32" t="s">
        <v>54</v>
      </c>
      <c r="H223" s="32" t="s">
        <v>60</v>
      </c>
      <c r="I223" s="49" t="s">
        <v>160</v>
      </c>
      <c r="J223" s="49" t="s">
        <v>161</v>
      </c>
      <c r="K223" s="49" t="s">
        <v>162</v>
      </c>
      <c r="L223" s="49" t="s">
        <v>163</v>
      </c>
      <c r="M223" s="32" t="s">
        <v>164</v>
      </c>
      <c r="N223" s="32" t="s">
        <v>55</v>
      </c>
      <c r="O223" s="32" t="s">
        <v>56</v>
      </c>
      <c r="P223" s="32" t="s">
        <v>16</v>
      </c>
      <c r="Q223" s="32" t="s">
        <v>242</v>
      </c>
      <c r="R223" s="32" t="s">
        <v>59</v>
      </c>
      <c r="S223" s="32" t="s">
        <v>66</v>
      </c>
      <c r="T223" s="32" t="s">
        <v>64</v>
      </c>
      <c r="U223" s="32" t="s">
        <v>65</v>
      </c>
    </row>
    <row r="224" spans="1:21" s="72" customFormat="1" ht="23.45" customHeight="1" x14ac:dyDescent="0.25">
      <c r="A224" s="33"/>
      <c r="B224" s="67" t="s">
        <v>485</v>
      </c>
      <c r="C224" s="67" t="s">
        <v>484</v>
      </c>
      <c r="D224" s="12">
        <v>15</v>
      </c>
      <c r="E224" s="69">
        <v>661.33</v>
      </c>
      <c r="F224" s="69">
        <f>D224*E224</f>
        <v>9919.9500000000007</v>
      </c>
      <c r="G224" s="69"/>
      <c r="H224" s="69"/>
      <c r="I224" s="69">
        <f>VLOOKUP($F$230,Tabisr,1)</f>
        <v>5925.91</v>
      </c>
      <c r="J224" s="70">
        <f>+F224-I224</f>
        <v>3994.0400000000009</v>
      </c>
      <c r="K224" s="71">
        <f>VLOOKUP($F$230,Tabisr,4)</f>
        <v>0.21360000000000001</v>
      </c>
      <c r="L224" s="69">
        <f>(F224-5081.01)*21.36%</f>
        <v>1033.5975840000001</v>
      </c>
      <c r="M224" s="69">
        <v>538.20000000000005</v>
      </c>
      <c r="N224" s="69">
        <f>L224+M224</f>
        <v>1571.7975840000001</v>
      </c>
      <c r="O224" s="69">
        <f>VLOOKUP($F$230,Tabsub,3)</f>
        <v>0</v>
      </c>
      <c r="P224" s="69"/>
      <c r="Q224" s="69"/>
      <c r="R224" s="69"/>
      <c r="S224" s="69"/>
      <c r="T224" s="70">
        <f>F224+G224+H224-N224+O224-P224-Q224-R224-S224</f>
        <v>8348.1524160000008</v>
      </c>
      <c r="U224" s="70">
        <f>T224-G224</f>
        <v>8348.1524160000008</v>
      </c>
    </row>
    <row r="225" spans="1:21" s="72" customFormat="1" x14ac:dyDescent="0.25">
      <c r="A225" s="36"/>
      <c r="B225" s="80"/>
      <c r="C225" s="81"/>
      <c r="D225" s="82"/>
      <c r="E225" s="175"/>
      <c r="F225" s="175">
        <f>SUM(F224)</f>
        <v>9919.9500000000007</v>
      </c>
      <c r="G225" s="175">
        <f t="shared" ref="G225:U225" si="161">SUM(G224)</f>
        <v>0</v>
      </c>
      <c r="H225" s="175">
        <f t="shared" si="161"/>
        <v>0</v>
      </c>
      <c r="I225" s="175">
        <f t="shared" si="161"/>
        <v>5925.91</v>
      </c>
      <c r="J225" s="175">
        <f t="shared" si="161"/>
        <v>3994.0400000000009</v>
      </c>
      <c r="K225" s="175">
        <f t="shared" si="161"/>
        <v>0.21360000000000001</v>
      </c>
      <c r="L225" s="175">
        <f t="shared" si="161"/>
        <v>1033.5975840000001</v>
      </c>
      <c r="M225" s="175">
        <f t="shared" si="161"/>
        <v>538.20000000000005</v>
      </c>
      <c r="N225" s="175">
        <f t="shared" si="161"/>
        <v>1571.7975840000001</v>
      </c>
      <c r="O225" s="175">
        <f t="shared" si="161"/>
        <v>0</v>
      </c>
      <c r="P225" s="175">
        <f t="shared" si="161"/>
        <v>0</v>
      </c>
      <c r="Q225" s="175">
        <f t="shared" si="161"/>
        <v>0</v>
      </c>
      <c r="R225" s="175">
        <f t="shared" si="161"/>
        <v>0</v>
      </c>
      <c r="S225" s="175">
        <f t="shared" si="161"/>
        <v>0</v>
      </c>
      <c r="T225" s="175">
        <f t="shared" si="161"/>
        <v>8348.1524160000008</v>
      </c>
      <c r="U225" s="175">
        <f t="shared" si="161"/>
        <v>8348.1524160000008</v>
      </c>
    </row>
    <row r="226" spans="1:21" s="72" customFormat="1" x14ac:dyDescent="0.25">
      <c r="A226" s="36"/>
      <c r="B226" s="80"/>
      <c r="C226" s="81"/>
      <c r="D226" s="82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</row>
    <row r="227" spans="1:21" s="72" customFormat="1" ht="13.9" customHeight="1" x14ac:dyDescent="0.25">
      <c r="A227" s="36"/>
      <c r="B227" s="80"/>
      <c r="C227" s="81"/>
      <c r="D227" s="82"/>
      <c r="E227" s="82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</row>
    <row r="228" spans="1:21" ht="12" customHeight="1" x14ac:dyDescent="0.25">
      <c r="A228" s="195" t="s">
        <v>324</v>
      </c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7"/>
    </row>
    <row r="229" spans="1:21" ht="24" x14ac:dyDescent="0.25">
      <c r="A229" s="32" t="s">
        <v>57</v>
      </c>
      <c r="B229" s="32" t="s">
        <v>13</v>
      </c>
      <c r="C229" s="32" t="s">
        <v>68</v>
      </c>
      <c r="D229" s="32" t="s">
        <v>21</v>
      </c>
      <c r="E229" s="32" t="s">
        <v>15</v>
      </c>
      <c r="F229" s="32" t="s">
        <v>14</v>
      </c>
      <c r="G229" s="32" t="s">
        <v>54</v>
      </c>
      <c r="H229" s="32" t="s">
        <v>60</v>
      </c>
      <c r="I229" s="49" t="s">
        <v>160</v>
      </c>
      <c r="J229" s="49" t="s">
        <v>161</v>
      </c>
      <c r="K229" s="49" t="s">
        <v>162</v>
      </c>
      <c r="L229" s="49" t="s">
        <v>163</v>
      </c>
      <c r="M229" s="32" t="s">
        <v>164</v>
      </c>
      <c r="N229" s="32" t="s">
        <v>55</v>
      </c>
      <c r="O229" s="32" t="s">
        <v>56</v>
      </c>
      <c r="P229" s="32" t="s">
        <v>16</v>
      </c>
      <c r="Q229" s="32" t="s">
        <v>242</v>
      </c>
      <c r="R229" s="32" t="s">
        <v>59</v>
      </c>
      <c r="S229" s="32" t="s">
        <v>66</v>
      </c>
      <c r="T229" s="32" t="s">
        <v>64</v>
      </c>
      <c r="U229" s="32" t="s">
        <v>65</v>
      </c>
    </row>
    <row r="230" spans="1:21" x14ac:dyDescent="0.25">
      <c r="A230" s="33">
        <v>116</v>
      </c>
      <c r="B230" s="67" t="s">
        <v>120</v>
      </c>
      <c r="C230" s="67" t="s">
        <v>459</v>
      </c>
      <c r="D230" s="12">
        <v>15</v>
      </c>
      <c r="E230" s="69">
        <v>661.33</v>
      </c>
      <c r="F230" s="69">
        <f>D230*E230</f>
        <v>9919.9500000000007</v>
      </c>
      <c r="G230" s="69"/>
      <c r="H230" s="69"/>
      <c r="I230" s="69">
        <f>VLOOKUP($F$230,Tabisr,1)</f>
        <v>5925.91</v>
      </c>
      <c r="J230" s="70">
        <f>+F230-I230</f>
        <v>3994.0400000000009</v>
      </c>
      <c r="K230" s="71">
        <f>VLOOKUP($F$230,Tabisr,4)</f>
        <v>0.21360000000000001</v>
      </c>
      <c r="L230" s="69">
        <f>(F230-5081.01)*21.36%</f>
        <v>1033.5975840000001</v>
      </c>
      <c r="M230" s="69">
        <v>538.20000000000005</v>
      </c>
      <c r="N230" s="69">
        <f>L230+M230</f>
        <v>1571.7975840000001</v>
      </c>
      <c r="O230" s="69">
        <f>VLOOKUP($F$230,Tabsub,3)</f>
        <v>0</v>
      </c>
      <c r="P230" s="69"/>
      <c r="Q230" s="69"/>
      <c r="R230" s="69"/>
      <c r="S230" s="69"/>
      <c r="T230" s="70">
        <f>F230+G230+H230-N230+O230-P230-Q230-R230-S230</f>
        <v>8348.1524160000008</v>
      </c>
      <c r="U230" s="70">
        <f>T230-G230</f>
        <v>8348.1524160000008</v>
      </c>
    </row>
    <row r="231" spans="1:21" ht="24" x14ac:dyDescent="0.25">
      <c r="A231" s="33">
        <v>293</v>
      </c>
      <c r="B231" s="67" t="s">
        <v>461</v>
      </c>
      <c r="C231" s="67" t="s">
        <v>460</v>
      </c>
      <c r="D231" s="12">
        <v>15</v>
      </c>
      <c r="E231" s="69">
        <v>661.33</v>
      </c>
      <c r="F231" s="69">
        <f>D231*E231</f>
        <v>9919.9500000000007</v>
      </c>
      <c r="G231" s="69"/>
      <c r="H231" s="69"/>
      <c r="I231" s="69">
        <f>VLOOKUP($F$230,Tabisr,1)</f>
        <v>5925.91</v>
      </c>
      <c r="J231" s="70">
        <f>+F231-I231</f>
        <v>3994.0400000000009</v>
      </c>
      <c r="K231" s="71">
        <f>VLOOKUP($F$230,Tabisr,4)</f>
        <v>0.21360000000000001</v>
      </c>
      <c r="L231" s="69">
        <f>(F231-5081.01)*21.36%</f>
        <v>1033.5975840000001</v>
      </c>
      <c r="M231" s="69">
        <v>538.20000000000005</v>
      </c>
      <c r="N231" s="69">
        <f>L231+M231</f>
        <v>1571.7975840000001</v>
      </c>
      <c r="O231" s="69">
        <f>VLOOKUP($F$230,Tabsub,3)</f>
        <v>0</v>
      </c>
      <c r="P231" s="69"/>
      <c r="Q231" s="69"/>
      <c r="R231" s="69"/>
      <c r="S231" s="69"/>
      <c r="T231" s="70">
        <f>F231+G231+H231-N231+O231-P231-Q231-R231-S231</f>
        <v>8348.1524160000008</v>
      </c>
      <c r="U231" s="70">
        <f>T231-G231</f>
        <v>8348.1524160000008</v>
      </c>
    </row>
    <row r="232" spans="1:21" ht="12" customHeight="1" x14ac:dyDescent="0.25">
      <c r="A232" s="33">
        <v>118</v>
      </c>
      <c r="B232" s="67" t="s">
        <v>370</v>
      </c>
      <c r="C232" s="67" t="s">
        <v>282</v>
      </c>
      <c r="D232" s="12">
        <v>15</v>
      </c>
      <c r="E232" s="69">
        <v>312.26</v>
      </c>
      <c r="F232" s="69">
        <f>D232*E232</f>
        <v>4683.8999999999996</v>
      </c>
      <c r="G232" s="69">
        <v>400</v>
      </c>
      <c r="H232" s="33"/>
      <c r="I232" s="69" t="e">
        <f>VLOOKUP($F$216,Tabisr,1)</f>
        <v>#N/A</v>
      </c>
      <c r="J232" s="70" t="e">
        <f>+F232-I232</f>
        <v>#N/A</v>
      </c>
      <c r="K232" s="71" t="e">
        <f>VLOOKUP($F$216,Tabisr,4)</f>
        <v>#N/A</v>
      </c>
      <c r="L232" s="69" t="e">
        <f>+J232*K232</f>
        <v>#N/A</v>
      </c>
      <c r="M232" s="69" t="e">
        <f>VLOOKUP($F$216,Tabisr,3)</f>
        <v>#N/A</v>
      </c>
      <c r="N232" s="52">
        <v>466.88</v>
      </c>
      <c r="O232" s="69"/>
      <c r="P232" s="69"/>
      <c r="Q232" s="69"/>
      <c r="R232" s="69"/>
      <c r="S232" s="69"/>
      <c r="T232" s="70">
        <f>F232+G232+H232-N232+O232-P232-Q232-R232-S232</f>
        <v>4617.0199999999995</v>
      </c>
      <c r="U232" s="70">
        <f>T232-G232</f>
        <v>4217.0199999999995</v>
      </c>
    </row>
    <row r="233" spans="1:21" ht="12" customHeight="1" x14ac:dyDescent="0.25">
      <c r="A233" s="35">
        <v>245</v>
      </c>
      <c r="B233" s="57" t="s">
        <v>465</v>
      </c>
      <c r="C233" s="57" t="s">
        <v>336</v>
      </c>
      <c r="D233" s="14"/>
      <c r="E233" s="59"/>
      <c r="F233" s="59"/>
      <c r="G233" s="59"/>
      <c r="H233" s="35"/>
      <c r="I233" s="59"/>
      <c r="J233" s="61"/>
      <c r="K233" s="62"/>
      <c r="L233" s="59"/>
      <c r="M233" s="59"/>
      <c r="N233" s="93"/>
      <c r="O233" s="59"/>
      <c r="P233" s="59"/>
      <c r="Q233" s="59"/>
      <c r="R233" s="59"/>
      <c r="S233" s="59"/>
      <c r="T233" s="61"/>
      <c r="U233" s="61"/>
    </row>
    <row r="234" spans="1:21" x14ac:dyDescent="0.25">
      <c r="A234" s="33">
        <v>119</v>
      </c>
      <c r="B234" s="67" t="s">
        <v>339</v>
      </c>
      <c r="C234" s="67" t="s">
        <v>70</v>
      </c>
      <c r="D234" s="12">
        <v>15</v>
      </c>
      <c r="E234" s="94">
        <v>263.56</v>
      </c>
      <c r="F234" s="95">
        <f>D234*E234</f>
        <v>3953.4</v>
      </c>
      <c r="G234" s="95">
        <v>400</v>
      </c>
      <c r="H234" s="95"/>
      <c r="I234" s="95">
        <v>309.77999999999997</v>
      </c>
      <c r="J234" s="95"/>
      <c r="K234" s="95">
        <v>1050</v>
      </c>
      <c r="L234" s="95"/>
      <c r="M234" s="95"/>
      <c r="N234" s="95">
        <v>341.63</v>
      </c>
      <c r="O234" s="95"/>
      <c r="P234" s="95"/>
      <c r="Q234" s="247">
        <v>670</v>
      </c>
      <c r="R234" s="69"/>
      <c r="S234" s="69"/>
      <c r="T234" s="69">
        <f>F234+G234+H234-N234+O234-P234-Q234-R234-S234</f>
        <v>3341.7699999999995</v>
      </c>
      <c r="U234" s="69">
        <f>T234-G234</f>
        <v>2941.7699999999995</v>
      </c>
    </row>
    <row r="235" spans="1:21" s="72" customFormat="1" x14ac:dyDescent="0.25">
      <c r="A235" s="36"/>
      <c r="B235" s="63"/>
      <c r="C235" s="63"/>
      <c r="D235" s="13"/>
      <c r="E235" s="64"/>
      <c r="F235" s="74">
        <f>+SUM(F230:F234)</f>
        <v>28477.200000000004</v>
      </c>
      <c r="G235" s="74">
        <f>+SUM(G230:G234)</f>
        <v>800</v>
      </c>
      <c r="H235" s="74">
        <f t="shared" ref="H235:U235" si="162">+SUM(H230:H234)</f>
        <v>0</v>
      </c>
      <c r="I235" s="74" t="e">
        <f t="shared" si="162"/>
        <v>#N/A</v>
      </c>
      <c r="J235" s="74" t="e">
        <f t="shared" si="162"/>
        <v>#N/A</v>
      </c>
      <c r="K235" s="74" t="e">
        <f t="shared" si="162"/>
        <v>#N/A</v>
      </c>
      <c r="L235" s="74" t="e">
        <f t="shared" si="162"/>
        <v>#N/A</v>
      </c>
      <c r="M235" s="74" t="e">
        <f t="shared" si="162"/>
        <v>#N/A</v>
      </c>
      <c r="N235" s="74">
        <f t="shared" si="162"/>
        <v>3952.1051680000005</v>
      </c>
      <c r="O235" s="74">
        <f t="shared" si="162"/>
        <v>0</v>
      </c>
      <c r="P235" s="74">
        <f t="shared" si="162"/>
        <v>0</v>
      </c>
      <c r="Q235" s="74">
        <f t="shared" si="162"/>
        <v>670</v>
      </c>
      <c r="R235" s="74">
        <f t="shared" si="162"/>
        <v>0</v>
      </c>
      <c r="S235" s="74">
        <f t="shared" si="162"/>
        <v>0</v>
      </c>
      <c r="T235" s="74">
        <f t="shared" si="162"/>
        <v>24655.094832000002</v>
      </c>
      <c r="U235" s="74">
        <f t="shared" si="162"/>
        <v>23855.094832000002</v>
      </c>
    </row>
    <row r="236" spans="1:21" s="72" customFormat="1" x14ac:dyDescent="0.25">
      <c r="A236" s="36"/>
      <c r="B236" s="63"/>
      <c r="C236" s="63"/>
      <c r="D236" s="13"/>
      <c r="E236" s="6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</row>
    <row r="237" spans="1:21" s="72" customFormat="1" x14ac:dyDescent="0.25">
      <c r="A237" s="36"/>
      <c r="B237" s="80"/>
      <c r="C237" s="81"/>
      <c r="D237" s="82"/>
      <c r="E237" s="82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</row>
    <row r="238" spans="1:21" s="72" customFormat="1" x14ac:dyDescent="0.25">
      <c r="A238" s="192" t="s">
        <v>262</v>
      </c>
      <c r="B238" s="193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4"/>
    </row>
    <row r="239" spans="1:21" s="72" customFormat="1" ht="24" x14ac:dyDescent="0.25">
      <c r="A239" s="32" t="s">
        <v>57</v>
      </c>
      <c r="B239" s="32" t="s">
        <v>13</v>
      </c>
      <c r="C239" s="32" t="s">
        <v>68</v>
      </c>
      <c r="D239" s="32" t="s">
        <v>21</v>
      </c>
      <c r="E239" s="32" t="s">
        <v>15</v>
      </c>
      <c r="F239" s="32" t="s">
        <v>14</v>
      </c>
      <c r="G239" s="32" t="s">
        <v>54</v>
      </c>
      <c r="H239" s="32" t="s">
        <v>60</v>
      </c>
      <c r="I239" s="49" t="s">
        <v>160</v>
      </c>
      <c r="J239" s="49" t="s">
        <v>161</v>
      </c>
      <c r="K239" s="49" t="s">
        <v>162</v>
      </c>
      <c r="L239" s="49" t="s">
        <v>163</v>
      </c>
      <c r="M239" s="32" t="s">
        <v>164</v>
      </c>
      <c r="N239" s="32" t="s">
        <v>55</v>
      </c>
      <c r="O239" s="32" t="s">
        <v>56</v>
      </c>
      <c r="P239" s="32" t="s">
        <v>16</v>
      </c>
      <c r="Q239" s="32" t="s">
        <v>242</v>
      </c>
      <c r="R239" s="32" t="s">
        <v>59</v>
      </c>
      <c r="S239" s="32" t="s">
        <v>66</v>
      </c>
      <c r="T239" s="32" t="s">
        <v>64</v>
      </c>
      <c r="U239" s="32" t="s">
        <v>65</v>
      </c>
    </row>
    <row r="240" spans="1:21" s="72" customFormat="1" x14ac:dyDescent="0.25">
      <c r="A240" s="40">
        <v>289</v>
      </c>
      <c r="B240" s="78" t="s">
        <v>445</v>
      </c>
      <c r="C240" s="67" t="s">
        <v>444</v>
      </c>
      <c r="D240" s="12">
        <v>15</v>
      </c>
      <c r="E240" s="69">
        <v>661.33</v>
      </c>
      <c r="F240" s="69">
        <f t="shared" ref="F240:F241" si="163">D240*E240</f>
        <v>9919.9500000000007</v>
      </c>
      <c r="G240" s="69"/>
      <c r="H240" s="69"/>
      <c r="I240" s="69">
        <f>VLOOKUP($F$230,Tabisr,1)</f>
        <v>5925.91</v>
      </c>
      <c r="J240" s="70">
        <f t="shared" ref="J240:J241" si="164">+F240-I240</f>
        <v>3994.0400000000009</v>
      </c>
      <c r="K240" s="71">
        <f>VLOOKUP($F$230,Tabisr,4)</f>
        <v>0.21360000000000001</v>
      </c>
      <c r="L240" s="69">
        <f>(F240-5081.01)*21.36%</f>
        <v>1033.5975840000001</v>
      </c>
      <c r="M240" s="69">
        <v>538.20000000000005</v>
      </c>
      <c r="N240" s="69">
        <f>L240+M240</f>
        <v>1571.7975840000001</v>
      </c>
      <c r="O240" s="69">
        <f>VLOOKUP($F$230,Tabsub,3)</f>
        <v>0</v>
      </c>
      <c r="P240" s="69"/>
      <c r="Q240" s="69"/>
      <c r="R240" s="69"/>
      <c r="S240" s="69"/>
      <c r="T240" s="70">
        <f t="shared" ref="T240:T241" si="165">F240+G240+H240-N240+O240-P240-Q240-R240-S240</f>
        <v>8348.1524160000008</v>
      </c>
      <c r="U240" s="70">
        <f t="shared" ref="U240:U241" si="166">T240-G240</f>
        <v>8348.1524160000008</v>
      </c>
    </row>
    <row r="241" spans="1:22" s="72" customFormat="1" x14ac:dyDescent="0.25">
      <c r="A241" s="40">
        <v>297</v>
      </c>
      <c r="B241" s="67" t="s">
        <v>170</v>
      </c>
      <c r="C241" s="68" t="s">
        <v>70</v>
      </c>
      <c r="D241" s="12">
        <v>15</v>
      </c>
      <c r="E241" s="69">
        <v>263.56</v>
      </c>
      <c r="F241" s="69">
        <f t="shared" si="163"/>
        <v>3953.4</v>
      </c>
      <c r="G241" s="69">
        <v>400</v>
      </c>
      <c r="H241" s="69"/>
      <c r="I241" s="69">
        <f t="shared" ref="I241:I247" si="167">VLOOKUP($F$201,Tabisr,1)</f>
        <v>4257.91</v>
      </c>
      <c r="J241" s="70">
        <f t="shared" si="164"/>
        <v>-304.50999999999976</v>
      </c>
      <c r="K241" s="71">
        <f t="shared" ref="K241:K247" si="168">VLOOKUP($F$201,Tabisr,4)</f>
        <v>0.16</v>
      </c>
      <c r="L241" s="69">
        <f t="shared" ref="L241" si="169">(F241-3651.01)*16%</f>
        <v>48.382399999999983</v>
      </c>
      <c r="M241" s="69">
        <v>293.25</v>
      </c>
      <c r="N241" s="69">
        <f t="shared" ref="N241" si="170">L241+M241</f>
        <v>341.63239999999996</v>
      </c>
      <c r="O241" s="69"/>
      <c r="P241" s="246">
        <v>1300</v>
      </c>
      <c r="Q241" s="69"/>
      <c r="R241" s="69"/>
      <c r="S241" s="69"/>
      <c r="T241" s="70">
        <f t="shared" si="165"/>
        <v>2711.7675999999997</v>
      </c>
      <c r="U241" s="70">
        <f t="shared" si="166"/>
        <v>2311.7675999999997</v>
      </c>
    </row>
    <row r="242" spans="1:22" s="75" customFormat="1" x14ac:dyDescent="0.25">
      <c r="A242" s="33">
        <v>263</v>
      </c>
      <c r="B242" s="67" t="s">
        <v>366</v>
      </c>
      <c r="C242" s="68" t="s">
        <v>367</v>
      </c>
      <c r="D242" s="12">
        <v>15</v>
      </c>
      <c r="E242" s="69">
        <v>263.56</v>
      </c>
      <c r="F242" s="69">
        <f t="shared" ref="F242:F245" si="171">D242*E242</f>
        <v>3953.4</v>
      </c>
      <c r="G242" s="69">
        <v>400</v>
      </c>
      <c r="H242" s="69"/>
      <c r="I242" s="69">
        <f t="shared" si="167"/>
        <v>4257.91</v>
      </c>
      <c r="J242" s="70">
        <f t="shared" ref="J242:J245" si="172">+F242-I242</f>
        <v>-304.50999999999976</v>
      </c>
      <c r="K242" s="71">
        <f t="shared" si="168"/>
        <v>0.16</v>
      </c>
      <c r="L242" s="69">
        <f t="shared" ref="L242:L247" si="173">(F242-3651.01)*16%</f>
        <v>48.382399999999983</v>
      </c>
      <c r="M242" s="69">
        <v>293.25</v>
      </c>
      <c r="N242" s="69">
        <f t="shared" ref="N242:N244" si="174">L242+M242</f>
        <v>341.63239999999996</v>
      </c>
      <c r="O242" s="69"/>
      <c r="P242" s="246">
        <v>600</v>
      </c>
      <c r="Q242" s="69"/>
      <c r="R242" s="69"/>
      <c r="S242" s="69"/>
      <c r="T242" s="70">
        <f t="shared" ref="T242:T244" si="175">F242+G242+H242-N242+O242-P242-Q242-R242-S242</f>
        <v>3411.7675999999997</v>
      </c>
      <c r="U242" s="70">
        <f t="shared" ref="U242:U244" si="176">T242-G242</f>
        <v>3011.7675999999997</v>
      </c>
    </row>
    <row r="243" spans="1:22" s="72" customFormat="1" x14ac:dyDescent="0.25">
      <c r="A243" s="33">
        <v>269</v>
      </c>
      <c r="B243" s="67" t="s">
        <v>375</v>
      </c>
      <c r="C243" s="67" t="s">
        <v>298</v>
      </c>
      <c r="D243" s="12">
        <v>15</v>
      </c>
      <c r="E243" s="69">
        <v>263.56</v>
      </c>
      <c r="F243" s="69">
        <f t="shared" si="171"/>
        <v>3953.4</v>
      </c>
      <c r="G243" s="69">
        <v>400</v>
      </c>
      <c r="H243" s="69"/>
      <c r="I243" s="69">
        <f t="shared" si="167"/>
        <v>4257.91</v>
      </c>
      <c r="J243" s="70">
        <f t="shared" si="172"/>
        <v>-304.50999999999976</v>
      </c>
      <c r="K243" s="71">
        <f t="shared" si="168"/>
        <v>0.16</v>
      </c>
      <c r="L243" s="69">
        <f t="shared" si="173"/>
        <v>48.382399999999983</v>
      </c>
      <c r="M243" s="69">
        <v>293.25</v>
      </c>
      <c r="N243" s="69">
        <f t="shared" si="174"/>
        <v>341.63239999999996</v>
      </c>
      <c r="O243" s="69"/>
      <c r="P243" s="246"/>
      <c r="Q243" s="69"/>
      <c r="R243" s="69"/>
      <c r="S243" s="69"/>
      <c r="T243" s="70">
        <f t="shared" si="175"/>
        <v>4011.7675999999997</v>
      </c>
      <c r="U243" s="70">
        <f t="shared" si="176"/>
        <v>3611.7675999999997</v>
      </c>
    </row>
    <row r="244" spans="1:22" s="72" customFormat="1" x14ac:dyDescent="0.25">
      <c r="A244" s="33">
        <v>265</v>
      </c>
      <c r="B244" s="67" t="s">
        <v>371</v>
      </c>
      <c r="C244" s="67" t="s">
        <v>298</v>
      </c>
      <c r="D244" s="12">
        <v>15</v>
      </c>
      <c r="E244" s="69">
        <v>263.56</v>
      </c>
      <c r="F244" s="69">
        <f t="shared" si="171"/>
        <v>3953.4</v>
      </c>
      <c r="G244" s="69">
        <v>400</v>
      </c>
      <c r="H244" s="69"/>
      <c r="I244" s="69">
        <f t="shared" si="167"/>
        <v>4257.91</v>
      </c>
      <c r="J244" s="70">
        <f t="shared" si="172"/>
        <v>-304.50999999999976</v>
      </c>
      <c r="K244" s="71">
        <f t="shared" si="168"/>
        <v>0.16</v>
      </c>
      <c r="L244" s="69">
        <f t="shared" si="173"/>
        <v>48.382399999999983</v>
      </c>
      <c r="M244" s="69">
        <v>293.25</v>
      </c>
      <c r="N244" s="69">
        <f t="shared" si="174"/>
        <v>341.63239999999996</v>
      </c>
      <c r="O244" s="69"/>
      <c r="P244" s="69"/>
      <c r="Q244" s="69"/>
      <c r="R244" s="69"/>
      <c r="S244" s="69"/>
      <c r="T244" s="70">
        <f t="shared" si="175"/>
        <v>4011.7675999999997</v>
      </c>
      <c r="U244" s="70">
        <f t="shared" si="176"/>
        <v>3611.7675999999997</v>
      </c>
    </row>
    <row r="245" spans="1:22" s="72" customFormat="1" x14ac:dyDescent="0.25">
      <c r="A245" s="33">
        <v>124</v>
      </c>
      <c r="B245" s="67" t="s">
        <v>297</v>
      </c>
      <c r="C245" s="67" t="s">
        <v>298</v>
      </c>
      <c r="D245" s="12">
        <v>15</v>
      </c>
      <c r="E245" s="69">
        <v>263.56</v>
      </c>
      <c r="F245" s="69">
        <f t="shared" si="171"/>
        <v>3953.4</v>
      </c>
      <c r="G245" s="69">
        <v>400</v>
      </c>
      <c r="H245" s="69"/>
      <c r="I245" s="69">
        <f t="shared" si="167"/>
        <v>4257.91</v>
      </c>
      <c r="J245" s="70">
        <f t="shared" si="172"/>
        <v>-304.50999999999976</v>
      </c>
      <c r="K245" s="71">
        <f t="shared" si="168"/>
        <v>0.16</v>
      </c>
      <c r="L245" s="69">
        <f t="shared" si="173"/>
        <v>48.382399999999983</v>
      </c>
      <c r="M245" s="69">
        <v>292.25</v>
      </c>
      <c r="N245" s="69">
        <v>341.63</v>
      </c>
      <c r="O245" s="69"/>
      <c r="P245" s="69"/>
      <c r="Q245" s="69"/>
      <c r="R245" s="69"/>
      <c r="S245" s="69"/>
      <c r="T245" s="70">
        <f t="shared" ref="T245" si="177">F245+G245+H245-N245+O245-P245-Q245-R245-S245</f>
        <v>4011.7699999999995</v>
      </c>
      <c r="U245" s="70">
        <f t="shared" ref="U245" si="178">T245-G245</f>
        <v>3611.7699999999995</v>
      </c>
      <c r="V245" s="75"/>
    </row>
    <row r="246" spans="1:22" s="75" customFormat="1" x14ac:dyDescent="0.25">
      <c r="A246" s="33">
        <v>273</v>
      </c>
      <c r="B246" s="116" t="s">
        <v>385</v>
      </c>
      <c r="C246" s="116" t="s">
        <v>386</v>
      </c>
      <c r="D246" s="12">
        <v>15</v>
      </c>
      <c r="E246" s="69">
        <v>220.57</v>
      </c>
      <c r="F246" s="69">
        <f t="shared" ref="F246" si="179">D246*E246</f>
        <v>3308.5499999999997</v>
      </c>
      <c r="G246" s="69">
        <v>400</v>
      </c>
      <c r="H246" s="69"/>
      <c r="I246" s="69">
        <f t="shared" si="167"/>
        <v>4257.91</v>
      </c>
      <c r="J246" s="70">
        <f t="shared" ref="J246" si="180">+F246-I246</f>
        <v>-949.36000000000013</v>
      </c>
      <c r="K246" s="71">
        <f t="shared" si="168"/>
        <v>0.16</v>
      </c>
      <c r="L246" s="69">
        <f t="shared" si="173"/>
        <v>-54.793600000000083</v>
      </c>
      <c r="M246" s="69">
        <v>292.25</v>
      </c>
      <c r="N246" s="69">
        <v>337.68</v>
      </c>
      <c r="O246" s="69"/>
      <c r="P246" s="69"/>
      <c r="Q246" s="69"/>
      <c r="R246" s="69"/>
      <c r="S246" s="69"/>
      <c r="T246" s="70">
        <f>F246+G246+H246-N246+O246-P246-Q246-R246-S246</f>
        <v>3370.87</v>
      </c>
      <c r="U246" s="70">
        <f>T246-G246</f>
        <v>2970.87</v>
      </c>
    </row>
    <row r="247" spans="1:22" s="75" customFormat="1" x14ac:dyDescent="0.25">
      <c r="A247" s="33">
        <v>269</v>
      </c>
      <c r="B247" s="67" t="s">
        <v>379</v>
      </c>
      <c r="C247" s="67" t="s">
        <v>90</v>
      </c>
      <c r="D247" s="12">
        <v>15</v>
      </c>
      <c r="E247" s="69">
        <v>263.56</v>
      </c>
      <c r="F247" s="69">
        <f>D247*E247</f>
        <v>3953.4</v>
      </c>
      <c r="G247" s="69">
        <v>400</v>
      </c>
      <c r="H247" s="69"/>
      <c r="I247" s="69">
        <f t="shared" si="167"/>
        <v>4257.91</v>
      </c>
      <c r="J247" s="70">
        <f>+F247-I247</f>
        <v>-304.50999999999976</v>
      </c>
      <c r="K247" s="71">
        <f t="shared" si="168"/>
        <v>0.16</v>
      </c>
      <c r="L247" s="69">
        <f t="shared" si="173"/>
        <v>48.382399999999983</v>
      </c>
      <c r="M247" s="69">
        <v>293.25</v>
      </c>
      <c r="N247" s="69">
        <v>341.68</v>
      </c>
      <c r="O247" s="69"/>
      <c r="P247" s="69"/>
      <c r="Q247" s="69"/>
      <c r="R247" s="69"/>
      <c r="S247" s="69"/>
      <c r="T247" s="70">
        <f>F247+G247+H247-N247+O247-P247-Q247-R247-S247</f>
        <v>4011.72</v>
      </c>
      <c r="U247" s="70">
        <f>T247-G247</f>
        <v>3611.72</v>
      </c>
    </row>
    <row r="248" spans="1:22" s="72" customFormat="1" x14ac:dyDescent="0.25">
      <c r="A248" s="36"/>
      <c r="B248" s="80"/>
      <c r="C248" s="81"/>
      <c r="D248" s="82"/>
      <c r="E248" s="82"/>
      <c r="F248" s="83">
        <f>SUM(F240:F247)</f>
        <v>36948.900000000009</v>
      </c>
      <c r="G248" s="83">
        <f>SUM(G240:G247)</f>
        <v>2800</v>
      </c>
      <c r="H248" s="83">
        <f t="shared" ref="H248:M248" si="181">+H307</f>
        <v>0</v>
      </c>
      <c r="I248" s="83">
        <f t="shared" si="181"/>
        <v>5925.91</v>
      </c>
      <c r="J248" s="83">
        <f t="shared" si="181"/>
        <v>3994.0400000000009</v>
      </c>
      <c r="K248" s="83">
        <f t="shared" si="181"/>
        <v>0.21360000000000001</v>
      </c>
      <c r="L248" s="83">
        <f t="shared" si="181"/>
        <v>1033.5975840000001</v>
      </c>
      <c r="M248" s="83">
        <f t="shared" si="181"/>
        <v>538.20000000000005</v>
      </c>
      <c r="N248" s="83">
        <f>SUM(N240:N247)</f>
        <v>3959.3171839999995</v>
      </c>
      <c r="O248" s="165">
        <f t="shared" ref="O248:U248" si="182">SUM(O240:O247)</f>
        <v>0</v>
      </c>
      <c r="P248" s="165">
        <f t="shared" si="182"/>
        <v>1900</v>
      </c>
      <c r="Q248" s="165">
        <f t="shared" si="182"/>
        <v>0</v>
      </c>
      <c r="R248" s="165">
        <f t="shared" si="182"/>
        <v>0</v>
      </c>
      <c r="S248" s="165">
        <f t="shared" si="182"/>
        <v>0</v>
      </c>
      <c r="T248" s="165">
        <f t="shared" si="182"/>
        <v>33889.582815999995</v>
      </c>
      <c r="U248" s="165">
        <f t="shared" si="182"/>
        <v>31089.582815999998</v>
      </c>
    </row>
    <row r="249" spans="1:22" s="72" customFormat="1" x14ac:dyDescent="0.25">
      <c r="A249" s="36"/>
      <c r="B249" s="80"/>
      <c r="C249" s="81"/>
      <c r="D249" s="82"/>
      <c r="E249" s="82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</row>
    <row r="250" spans="1:22" s="72" customFormat="1" x14ac:dyDescent="0.25">
      <c r="A250" s="192" t="s">
        <v>211</v>
      </c>
      <c r="B250" s="193"/>
      <c r="C250" s="193"/>
      <c r="D250" s="193"/>
      <c r="E250" s="193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4"/>
    </row>
    <row r="251" spans="1:22" s="72" customFormat="1" ht="24" x14ac:dyDescent="0.25">
      <c r="A251" s="32" t="s">
        <v>57</v>
      </c>
      <c r="B251" s="32" t="s">
        <v>13</v>
      </c>
      <c r="C251" s="32" t="s">
        <v>68</v>
      </c>
      <c r="D251" s="32" t="s">
        <v>21</v>
      </c>
      <c r="E251" s="32" t="s">
        <v>15</v>
      </c>
      <c r="F251" s="32" t="s">
        <v>14</v>
      </c>
      <c r="G251" s="32" t="s">
        <v>54</v>
      </c>
      <c r="H251" s="32" t="s">
        <v>60</v>
      </c>
      <c r="I251" s="49" t="s">
        <v>160</v>
      </c>
      <c r="J251" s="49" t="s">
        <v>161</v>
      </c>
      <c r="K251" s="49" t="s">
        <v>162</v>
      </c>
      <c r="L251" s="49" t="s">
        <v>163</v>
      </c>
      <c r="M251" s="32" t="s">
        <v>164</v>
      </c>
      <c r="N251" s="32" t="s">
        <v>55</v>
      </c>
      <c r="O251" s="32" t="s">
        <v>56</v>
      </c>
      <c r="P251" s="32" t="s">
        <v>16</v>
      </c>
      <c r="Q251" s="32" t="s">
        <v>242</v>
      </c>
      <c r="R251" s="32" t="s">
        <v>59</v>
      </c>
      <c r="S251" s="32" t="s">
        <v>66</v>
      </c>
      <c r="T251" s="32" t="s">
        <v>64</v>
      </c>
      <c r="U251" s="32" t="s">
        <v>65</v>
      </c>
    </row>
    <row r="252" spans="1:22" s="75" customFormat="1" x14ac:dyDescent="0.25">
      <c r="A252" s="40">
        <v>126</v>
      </c>
      <c r="B252" s="67" t="s">
        <v>2</v>
      </c>
      <c r="C252" s="67" t="s">
        <v>189</v>
      </c>
      <c r="D252" s="12">
        <v>15</v>
      </c>
      <c r="E252" s="69">
        <v>661.33</v>
      </c>
      <c r="F252" s="69">
        <f t="shared" ref="F252:F278" si="183">D252*E252</f>
        <v>9919.9500000000007</v>
      </c>
      <c r="G252" s="69"/>
      <c r="H252" s="69"/>
      <c r="I252" s="69">
        <f>VLOOKUP($F$230,Tabisr,1)</f>
        <v>5925.91</v>
      </c>
      <c r="J252" s="70">
        <f t="shared" ref="J252:J276" si="184">+F252-I252</f>
        <v>3994.0400000000009</v>
      </c>
      <c r="K252" s="71">
        <f>VLOOKUP($F$230,Tabisr,4)</f>
        <v>0.21360000000000001</v>
      </c>
      <c r="L252" s="69">
        <f>(F252-5081.01)*21.36%</f>
        <v>1033.5975840000001</v>
      </c>
      <c r="M252" s="69">
        <v>538.20000000000005</v>
      </c>
      <c r="N252" s="69">
        <f>L252+M252</f>
        <v>1571.7975840000001</v>
      </c>
      <c r="O252" s="69">
        <f>VLOOKUP($F$230,Tabsub,3)</f>
        <v>0</v>
      </c>
      <c r="P252" s="69"/>
      <c r="Q252" s="69"/>
      <c r="R252" s="69"/>
      <c r="S252" s="69"/>
      <c r="T252" s="70">
        <f t="shared" ref="T252:T276" si="185">F252+G252+H252-N252+O252-P252-Q252-R252-S252</f>
        <v>8348.1524160000008</v>
      </c>
      <c r="U252" s="70">
        <f t="shared" ref="U252:U276" si="186">T252-G252</f>
        <v>8348.1524160000008</v>
      </c>
    </row>
    <row r="253" spans="1:22" s="96" customFormat="1" ht="27" customHeight="1" x14ac:dyDescent="0.25">
      <c r="A253" s="40">
        <v>127</v>
      </c>
      <c r="B253" s="67" t="s">
        <v>116</v>
      </c>
      <c r="C253" s="67" t="s">
        <v>253</v>
      </c>
      <c r="D253" s="12">
        <v>15</v>
      </c>
      <c r="E253" s="69">
        <v>414.83</v>
      </c>
      <c r="F253" s="69">
        <f>D253*E253</f>
        <v>6222.45</v>
      </c>
      <c r="G253" s="69">
        <v>400</v>
      </c>
      <c r="H253" s="33"/>
      <c r="I253" s="69">
        <f>VLOOKUP($F$95,Tabisr,1)</f>
        <v>5925.91</v>
      </c>
      <c r="J253" s="70">
        <f>+F253-I253</f>
        <v>296.53999999999996</v>
      </c>
      <c r="K253" s="71">
        <f>VLOOKUP($F$95,Tabisr,4)</f>
        <v>0.21360000000000001</v>
      </c>
      <c r="L253" s="69">
        <f>(F253-4244.01)*17.92%</f>
        <v>354.53644800000001</v>
      </c>
      <c r="M253" s="69">
        <v>388.05</v>
      </c>
      <c r="N253" s="69">
        <v>690.94</v>
      </c>
      <c r="O253" s="69"/>
      <c r="P253" s="33"/>
      <c r="Q253" s="33"/>
      <c r="R253" s="33"/>
      <c r="S253" s="37"/>
      <c r="T253" s="70">
        <f>F253+G253+H253-N253+O253-P253-Q253-R253-S253</f>
        <v>5931.51</v>
      </c>
      <c r="U253" s="70">
        <f>T253-G253</f>
        <v>5531.51</v>
      </c>
    </row>
    <row r="254" spans="1:22" s="72" customFormat="1" x14ac:dyDescent="0.25">
      <c r="A254" s="40">
        <v>128</v>
      </c>
      <c r="B254" s="67" t="s">
        <v>23</v>
      </c>
      <c r="C254" s="68" t="s">
        <v>70</v>
      </c>
      <c r="D254" s="12">
        <v>15</v>
      </c>
      <c r="E254" s="69">
        <v>263.56</v>
      </c>
      <c r="F254" s="69">
        <f>D254*E254</f>
        <v>3953.4</v>
      </c>
      <c r="G254" s="69">
        <v>400</v>
      </c>
      <c r="H254" s="69"/>
      <c r="I254" s="69">
        <f>VLOOKUP($F$201,Tabisr,1)</f>
        <v>4257.91</v>
      </c>
      <c r="J254" s="70">
        <f t="shared" si="184"/>
        <v>-304.50999999999976</v>
      </c>
      <c r="K254" s="71">
        <f>VLOOKUP($F$201,Tabisr,4)</f>
        <v>0.16</v>
      </c>
      <c r="L254" s="69">
        <f>(F254-3651.01)*16%</f>
        <v>48.382399999999983</v>
      </c>
      <c r="M254" s="69">
        <v>293.25</v>
      </c>
      <c r="N254" s="69">
        <f>L254+M254</f>
        <v>341.63239999999996</v>
      </c>
      <c r="O254" s="69"/>
      <c r="P254" s="69"/>
      <c r="Q254" s="69"/>
      <c r="R254" s="69"/>
      <c r="S254" s="69"/>
      <c r="T254" s="70">
        <f t="shared" si="185"/>
        <v>4011.7675999999997</v>
      </c>
      <c r="U254" s="70">
        <f t="shared" si="186"/>
        <v>3611.7675999999997</v>
      </c>
    </row>
    <row r="255" spans="1:22" s="75" customFormat="1" x14ac:dyDescent="0.25">
      <c r="A255" s="136">
        <v>129</v>
      </c>
      <c r="B255" s="137" t="s">
        <v>443</v>
      </c>
      <c r="C255" s="137" t="s">
        <v>70</v>
      </c>
      <c r="D255" s="12">
        <v>15</v>
      </c>
      <c r="E255" s="69">
        <v>263.56</v>
      </c>
      <c r="F255" s="69">
        <f>D255*E255</f>
        <v>3953.4</v>
      </c>
      <c r="G255" s="69">
        <v>400</v>
      </c>
      <c r="H255" s="69"/>
      <c r="I255" s="69">
        <f>VLOOKUP($F$201,Tabisr,1)</f>
        <v>4257.91</v>
      </c>
      <c r="J255" s="70">
        <f t="shared" ref="J255" si="187">+F255-I255</f>
        <v>-304.50999999999976</v>
      </c>
      <c r="K255" s="71">
        <f>VLOOKUP($F$201,Tabisr,4)</f>
        <v>0.16</v>
      </c>
      <c r="L255" s="69">
        <f>(F255-3651.01)*16%</f>
        <v>48.382399999999983</v>
      </c>
      <c r="M255" s="69">
        <v>293.25</v>
      </c>
      <c r="N255" s="69">
        <f>L255+M255</f>
        <v>341.63239999999996</v>
      </c>
      <c r="O255" s="69"/>
      <c r="P255" s="69"/>
      <c r="Q255" s="69"/>
      <c r="R255" s="69"/>
      <c r="S255" s="69"/>
      <c r="T255" s="70">
        <f t="shared" ref="T255" si="188">F255+G255+H255-N255+O255-P255-Q255-R255-S255</f>
        <v>4011.7675999999997</v>
      </c>
      <c r="U255" s="70">
        <f t="shared" ref="U255" si="189">T255-G255</f>
        <v>3611.7675999999997</v>
      </c>
    </row>
    <row r="256" spans="1:22" s="72" customFormat="1" x14ac:dyDescent="0.25">
      <c r="A256" s="38">
        <v>270</v>
      </c>
      <c r="B256" s="57" t="s">
        <v>244</v>
      </c>
      <c r="C256" s="58" t="s">
        <v>70</v>
      </c>
      <c r="D256" s="14"/>
      <c r="E256" s="59"/>
      <c r="F256" s="59"/>
      <c r="G256" s="59"/>
      <c r="H256" s="59"/>
      <c r="I256" s="59"/>
      <c r="J256" s="61"/>
      <c r="K256" s="62"/>
      <c r="L256" s="59"/>
      <c r="M256" s="59"/>
      <c r="N256" s="59"/>
      <c r="O256" s="59"/>
      <c r="P256" s="59"/>
      <c r="Q256" s="59"/>
      <c r="R256" s="59"/>
      <c r="S256" s="59"/>
      <c r="T256" s="61"/>
      <c r="U256" s="61"/>
    </row>
    <row r="257" spans="1:21" s="72" customFormat="1" x14ac:dyDescent="0.25">
      <c r="A257" s="40">
        <v>257</v>
      </c>
      <c r="B257" s="67" t="s">
        <v>58</v>
      </c>
      <c r="C257" s="68" t="s">
        <v>360</v>
      </c>
      <c r="D257" s="33">
        <v>15</v>
      </c>
      <c r="E257" s="69">
        <v>414.83</v>
      </c>
      <c r="F257" s="69">
        <f t="shared" ref="F257" si="190">D257*E257</f>
        <v>6222.45</v>
      </c>
      <c r="G257" s="69">
        <v>400</v>
      </c>
      <c r="H257" s="153">
        <f>E257/8*15</f>
        <v>777.80624999999998</v>
      </c>
      <c r="I257" s="69">
        <f>VLOOKUP($F$71,Tabisr,1)</f>
        <v>5925.91</v>
      </c>
      <c r="J257" s="147">
        <f>+F257-I257</f>
        <v>296.53999999999996</v>
      </c>
      <c r="K257" s="148">
        <f>VLOOKUP($F$71,Tabisr,4)</f>
        <v>0.21360000000000001</v>
      </c>
      <c r="L257" s="69">
        <f>(F257-4244.01)*17.92%</f>
        <v>354.53644800000001</v>
      </c>
      <c r="M257" s="69">
        <v>389.05</v>
      </c>
      <c r="N257" s="69">
        <v>690.94</v>
      </c>
      <c r="O257" s="69">
        <f>VLOOKUP($F$71,Tabsub,3)</f>
        <v>0</v>
      </c>
      <c r="P257" s="246">
        <v>1200</v>
      </c>
      <c r="Q257" s="246"/>
      <c r="R257" s="69"/>
      <c r="S257" s="69"/>
      <c r="T257" s="147">
        <f t="shared" ref="T257" si="191">F257+G257+H257-N257+O257-P257-Q257-R257-S257</f>
        <v>5509.3162499999999</v>
      </c>
      <c r="U257" s="147">
        <f t="shared" ref="U257" si="192">T257-G257</f>
        <v>5109.3162499999999</v>
      </c>
    </row>
    <row r="258" spans="1:21" s="72" customFormat="1" x14ac:dyDescent="0.25">
      <c r="A258" s="40">
        <v>130</v>
      </c>
      <c r="B258" s="67" t="s">
        <v>34</v>
      </c>
      <c r="C258" s="67" t="s">
        <v>131</v>
      </c>
      <c r="D258" s="33">
        <v>15</v>
      </c>
      <c r="E258" s="69">
        <v>253.77</v>
      </c>
      <c r="F258" s="69">
        <f t="shared" si="183"/>
        <v>3806.55</v>
      </c>
      <c r="G258" s="69">
        <v>400</v>
      </c>
      <c r="H258" s="95"/>
      <c r="I258" s="69">
        <f>VLOOKUP($F$258,Tabisr,1)</f>
        <v>2422.81</v>
      </c>
      <c r="J258" s="70">
        <f t="shared" si="184"/>
        <v>1383.7400000000002</v>
      </c>
      <c r="K258" s="71">
        <f>VLOOKUP($F$258,Tabisr,4)</f>
        <v>0.10879999999999999</v>
      </c>
      <c r="L258" s="69">
        <f t="shared" ref="L258:L265" si="193">(F258-2077.51)*10.88%</f>
        <v>188.119552</v>
      </c>
      <c r="M258" s="69">
        <v>121.95</v>
      </c>
      <c r="N258" s="69">
        <f t="shared" ref="N258:N263" si="194">M258+L258</f>
        <v>310.06955199999999</v>
      </c>
      <c r="O258" s="69">
        <f t="shared" ref="O258:O273" si="195">VLOOKUP($F$258,Tabsub,3)</f>
        <v>0</v>
      </c>
      <c r="P258" s="246"/>
      <c r="Q258" s="246"/>
      <c r="R258" s="69"/>
      <c r="S258" s="69"/>
      <c r="T258" s="70">
        <f t="shared" si="185"/>
        <v>3896.4804480000003</v>
      </c>
      <c r="U258" s="70">
        <f t="shared" si="186"/>
        <v>3496.4804480000003</v>
      </c>
    </row>
    <row r="259" spans="1:21" s="72" customFormat="1" x14ac:dyDescent="0.25">
      <c r="A259" s="40">
        <v>131</v>
      </c>
      <c r="B259" s="67" t="s">
        <v>35</v>
      </c>
      <c r="C259" s="67" t="s">
        <v>131</v>
      </c>
      <c r="D259" s="33">
        <v>15</v>
      </c>
      <c r="E259" s="69">
        <v>253.77</v>
      </c>
      <c r="F259" s="69">
        <f t="shared" si="183"/>
        <v>3806.55</v>
      </c>
      <c r="G259" s="69">
        <v>400</v>
      </c>
      <c r="H259" s="95"/>
      <c r="I259" s="69">
        <f>VLOOKUP($F$259,Tabisr,1)</f>
        <v>2422.81</v>
      </c>
      <c r="J259" s="70">
        <f t="shared" si="184"/>
        <v>1383.7400000000002</v>
      </c>
      <c r="K259" s="71">
        <f>VLOOKUP($F$259,Tabisr,4)</f>
        <v>0.10879999999999999</v>
      </c>
      <c r="L259" s="69">
        <f t="shared" si="193"/>
        <v>188.119552</v>
      </c>
      <c r="M259" s="69">
        <v>121.95</v>
      </c>
      <c r="N259" s="69">
        <f t="shared" si="194"/>
        <v>310.06955199999999</v>
      </c>
      <c r="O259" s="69">
        <f t="shared" si="195"/>
        <v>0</v>
      </c>
      <c r="P259" s="246"/>
      <c r="Q259" s="246"/>
      <c r="R259" s="69"/>
      <c r="S259" s="69"/>
      <c r="T259" s="70">
        <f t="shared" si="185"/>
        <v>3896.4804480000003</v>
      </c>
      <c r="U259" s="70">
        <f t="shared" si="186"/>
        <v>3496.4804480000003</v>
      </c>
    </row>
    <row r="260" spans="1:21" s="75" customFormat="1" x14ac:dyDescent="0.25">
      <c r="A260" s="40">
        <v>132</v>
      </c>
      <c r="B260" s="116" t="s">
        <v>407</v>
      </c>
      <c r="C260" s="67" t="s">
        <v>131</v>
      </c>
      <c r="D260" s="33">
        <v>15</v>
      </c>
      <c r="E260" s="69">
        <v>253.77</v>
      </c>
      <c r="F260" s="69">
        <f t="shared" si="183"/>
        <v>3806.55</v>
      </c>
      <c r="G260" s="69">
        <v>400</v>
      </c>
      <c r="H260" s="95"/>
      <c r="I260" s="69">
        <f>VLOOKUP($F$260,Tabisr,1)</f>
        <v>2422.81</v>
      </c>
      <c r="J260" s="70">
        <f t="shared" si="184"/>
        <v>1383.7400000000002</v>
      </c>
      <c r="K260" s="71">
        <f>VLOOKUP($F$260,Tabisr,4)</f>
        <v>0.10879999999999999</v>
      </c>
      <c r="L260" s="69">
        <f t="shared" si="193"/>
        <v>188.119552</v>
      </c>
      <c r="M260" s="69">
        <v>121.95</v>
      </c>
      <c r="N260" s="69">
        <f t="shared" si="194"/>
        <v>310.06955199999999</v>
      </c>
      <c r="O260" s="69">
        <f t="shared" si="195"/>
        <v>0</v>
      </c>
      <c r="P260" s="246"/>
      <c r="Q260" s="246"/>
      <c r="R260" s="69"/>
      <c r="S260" s="69"/>
      <c r="T260" s="70">
        <f t="shared" si="185"/>
        <v>3896.4804480000003</v>
      </c>
      <c r="U260" s="70">
        <f t="shared" si="186"/>
        <v>3496.4804480000003</v>
      </c>
    </row>
    <row r="261" spans="1:21" s="72" customFormat="1" x14ac:dyDescent="0.25">
      <c r="A261" s="40">
        <v>133</v>
      </c>
      <c r="B261" s="67" t="s">
        <v>137</v>
      </c>
      <c r="C261" s="67" t="s">
        <v>131</v>
      </c>
      <c r="D261" s="33">
        <v>15</v>
      </c>
      <c r="E261" s="69">
        <v>253.77</v>
      </c>
      <c r="F261" s="69">
        <f t="shared" si="183"/>
        <v>3806.55</v>
      </c>
      <c r="G261" s="69">
        <v>400</v>
      </c>
      <c r="H261" s="95"/>
      <c r="I261" s="69">
        <f>VLOOKUP($F$261,Tabisr,1)</f>
        <v>2422.81</v>
      </c>
      <c r="J261" s="70">
        <f t="shared" si="184"/>
        <v>1383.7400000000002</v>
      </c>
      <c r="K261" s="71">
        <f>VLOOKUP($F$261,Tabisr,4)</f>
        <v>0.10879999999999999</v>
      </c>
      <c r="L261" s="69">
        <f t="shared" si="193"/>
        <v>188.119552</v>
      </c>
      <c r="M261" s="69">
        <v>121.95</v>
      </c>
      <c r="N261" s="69">
        <f t="shared" si="194"/>
        <v>310.06955199999999</v>
      </c>
      <c r="O261" s="69">
        <f t="shared" si="195"/>
        <v>0</v>
      </c>
      <c r="P261" s="246"/>
      <c r="Q261" s="246"/>
      <c r="R261" s="69"/>
      <c r="S261" s="69"/>
      <c r="T261" s="70">
        <f t="shared" si="185"/>
        <v>3896.4804480000003</v>
      </c>
      <c r="U261" s="70">
        <f t="shared" si="186"/>
        <v>3496.4804480000003</v>
      </c>
    </row>
    <row r="262" spans="1:21" s="72" customFormat="1" x14ac:dyDescent="0.25">
      <c r="A262" s="40">
        <v>134</v>
      </c>
      <c r="B262" s="67" t="s">
        <v>352</v>
      </c>
      <c r="C262" s="67" t="s">
        <v>73</v>
      </c>
      <c r="D262" s="33">
        <v>15</v>
      </c>
      <c r="E262" s="69">
        <v>253.77</v>
      </c>
      <c r="F262" s="85">
        <f t="shared" ref="F262" si="196">D262*E262</f>
        <v>3806.55</v>
      </c>
      <c r="G262" s="69">
        <v>400</v>
      </c>
      <c r="H262" s="95"/>
      <c r="I262" s="85">
        <f>VLOOKUP($F$261,Tabisr,1)</f>
        <v>2422.81</v>
      </c>
      <c r="J262" s="86">
        <f t="shared" si="184"/>
        <v>1383.7400000000002</v>
      </c>
      <c r="K262" s="87">
        <f>VLOOKUP($F$261,Tabisr,4)</f>
        <v>0.10879999999999999</v>
      </c>
      <c r="L262" s="85">
        <f t="shared" si="193"/>
        <v>188.119552</v>
      </c>
      <c r="M262" s="85">
        <v>121.95</v>
      </c>
      <c r="N262" s="85">
        <f t="shared" si="194"/>
        <v>310.06955199999999</v>
      </c>
      <c r="O262" s="85">
        <f t="shared" si="195"/>
        <v>0</v>
      </c>
      <c r="P262" s="253"/>
      <c r="Q262" s="253"/>
      <c r="R262" s="85"/>
      <c r="S262" s="69"/>
      <c r="T262" s="70">
        <f t="shared" si="185"/>
        <v>3896.4804480000003</v>
      </c>
      <c r="U262" s="86">
        <f t="shared" si="186"/>
        <v>3496.4804480000003</v>
      </c>
    </row>
    <row r="263" spans="1:21" s="75" customFormat="1" x14ac:dyDescent="0.25">
      <c r="A263" s="40">
        <v>255</v>
      </c>
      <c r="B263" s="67" t="s">
        <v>355</v>
      </c>
      <c r="C263" s="67" t="s">
        <v>73</v>
      </c>
      <c r="D263" s="33">
        <v>15</v>
      </c>
      <c r="E263" s="69">
        <v>253.77</v>
      </c>
      <c r="F263" s="69">
        <f t="shared" ref="F263:F264" si="197">D263*E263</f>
        <v>3806.55</v>
      </c>
      <c r="G263" s="69">
        <v>400</v>
      </c>
      <c r="H263" s="138">
        <f>E263/8*15</f>
        <v>475.81875000000002</v>
      </c>
      <c r="I263" s="69">
        <f>VLOOKUP($F$261,Tabisr,1)</f>
        <v>2422.81</v>
      </c>
      <c r="J263" s="70">
        <f t="shared" si="184"/>
        <v>1383.7400000000002</v>
      </c>
      <c r="K263" s="71">
        <f>VLOOKUP($F$261,Tabisr,4)</f>
        <v>0.10879999999999999</v>
      </c>
      <c r="L263" s="69">
        <f t="shared" si="193"/>
        <v>188.119552</v>
      </c>
      <c r="M263" s="69">
        <v>121.95</v>
      </c>
      <c r="N263" s="69">
        <f t="shared" si="194"/>
        <v>310.06955199999999</v>
      </c>
      <c r="O263" s="69">
        <f t="shared" si="195"/>
        <v>0</v>
      </c>
      <c r="P263" s="246"/>
      <c r="Q263" s="247">
        <v>1000</v>
      </c>
      <c r="R263" s="69"/>
      <c r="S263" s="69"/>
      <c r="T263" s="70">
        <f t="shared" si="185"/>
        <v>3372.2991980000006</v>
      </c>
      <c r="U263" s="70">
        <f t="shared" si="186"/>
        <v>2972.2991980000006</v>
      </c>
    </row>
    <row r="264" spans="1:21" s="75" customFormat="1" x14ac:dyDescent="0.25">
      <c r="A264" s="40">
        <v>135</v>
      </c>
      <c r="B264" s="67" t="s">
        <v>357</v>
      </c>
      <c r="C264" s="67" t="s">
        <v>73</v>
      </c>
      <c r="D264" s="33">
        <v>15</v>
      </c>
      <c r="E264" s="69">
        <v>253.77</v>
      </c>
      <c r="F264" s="69">
        <f t="shared" si="197"/>
        <v>3806.55</v>
      </c>
      <c r="G264" s="69">
        <v>400</v>
      </c>
      <c r="H264" s="138"/>
      <c r="I264" s="69">
        <f>VLOOKUP($F$261,Tabisr,1)</f>
        <v>2422.81</v>
      </c>
      <c r="J264" s="70">
        <f t="shared" si="184"/>
        <v>1383.7400000000002</v>
      </c>
      <c r="K264" s="71">
        <f>VLOOKUP($F$261,Tabisr,4)</f>
        <v>0.10879999999999999</v>
      </c>
      <c r="L264" s="69">
        <f t="shared" si="193"/>
        <v>188.119552</v>
      </c>
      <c r="M264" s="69">
        <v>122.95</v>
      </c>
      <c r="N264" s="69">
        <f t="shared" ref="N264" si="198">M264+L264</f>
        <v>311.06955199999999</v>
      </c>
      <c r="O264" s="69">
        <f t="shared" si="195"/>
        <v>0</v>
      </c>
      <c r="P264" s="246"/>
      <c r="Q264" s="246"/>
      <c r="R264" s="69"/>
      <c r="S264" s="69"/>
      <c r="T264" s="70">
        <f t="shared" si="185"/>
        <v>3895.4804480000003</v>
      </c>
      <c r="U264" s="70">
        <f t="shared" si="186"/>
        <v>3495.4804480000003</v>
      </c>
    </row>
    <row r="265" spans="1:21" s="75" customFormat="1" x14ac:dyDescent="0.25">
      <c r="A265" s="40">
        <v>136</v>
      </c>
      <c r="B265" s="67" t="s">
        <v>278</v>
      </c>
      <c r="C265" s="67" t="s">
        <v>73</v>
      </c>
      <c r="D265" s="33">
        <v>15</v>
      </c>
      <c r="E265" s="69">
        <v>253.77</v>
      </c>
      <c r="F265" s="69">
        <f t="shared" ref="F265:F271" si="199">D265*E265</f>
        <v>3806.55</v>
      </c>
      <c r="G265" s="69">
        <v>400</v>
      </c>
      <c r="H265" s="139"/>
      <c r="I265" s="69">
        <f>VLOOKUP($F$262,Tabisr,1)</f>
        <v>2422.81</v>
      </c>
      <c r="J265" s="70">
        <f t="shared" si="184"/>
        <v>1383.7400000000002</v>
      </c>
      <c r="K265" s="71">
        <f>VLOOKUP($F$262,Tabisr,4)</f>
        <v>0.10879999999999999</v>
      </c>
      <c r="L265" s="69">
        <f t="shared" si="193"/>
        <v>188.119552</v>
      </c>
      <c r="M265" s="69">
        <v>121.95</v>
      </c>
      <c r="N265" s="69">
        <f>M265+L265</f>
        <v>310.06955199999999</v>
      </c>
      <c r="O265" s="69">
        <f t="shared" si="195"/>
        <v>0</v>
      </c>
      <c r="P265" s="246"/>
      <c r="Q265" s="246"/>
      <c r="R265" s="69"/>
      <c r="S265" s="69"/>
      <c r="T265" s="70">
        <f t="shared" si="185"/>
        <v>3896.4804480000003</v>
      </c>
      <c r="U265" s="70">
        <f t="shared" si="186"/>
        <v>3496.4804480000003</v>
      </c>
    </row>
    <row r="266" spans="1:21" s="75" customFormat="1" x14ac:dyDescent="0.25">
      <c r="A266" s="40">
        <v>137</v>
      </c>
      <c r="B266" s="67" t="s">
        <v>195</v>
      </c>
      <c r="C266" s="67" t="s">
        <v>77</v>
      </c>
      <c r="D266" s="33">
        <v>15</v>
      </c>
      <c r="E266" s="69">
        <v>263.56</v>
      </c>
      <c r="F266" s="69">
        <f t="shared" si="199"/>
        <v>3953.4</v>
      </c>
      <c r="G266" s="69">
        <v>400</v>
      </c>
      <c r="H266" s="133"/>
      <c r="I266" s="69">
        <f>VLOOKUP($F$315,Tabisr,1)</f>
        <v>2422.81</v>
      </c>
      <c r="J266" s="70">
        <f t="shared" si="184"/>
        <v>1530.5900000000001</v>
      </c>
      <c r="K266" s="71">
        <f>VLOOKUP($F$315,Tabisr,4)</f>
        <v>0.10879999999999999</v>
      </c>
      <c r="L266" s="69">
        <f>(F266-3651.01)*16%</f>
        <v>48.382399999999983</v>
      </c>
      <c r="M266" s="69">
        <v>293.25</v>
      </c>
      <c r="N266" s="69">
        <f>L266+M266</f>
        <v>341.63239999999996</v>
      </c>
      <c r="O266" s="69"/>
      <c r="P266" s="246"/>
      <c r="Q266" s="246"/>
      <c r="R266" s="134"/>
      <c r="S266" s="134"/>
      <c r="T266" s="70">
        <f t="shared" si="185"/>
        <v>4011.7675999999997</v>
      </c>
      <c r="U266" s="70">
        <f t="shared" si="186"/>
        <v>3611.7675999999997</v>
      </c>
    </row>
    <row r="267" spans="1:21" s="75" customFormat="1" x14ac:dyDescent="0.25">
      <c r="A267" s="40">
        <v>267</v>
      </c>
      <c r="B267" s="67" t="s">
        <v>372</v>
      </c>
      <c r="C267" s="67" t="s">
        <v>77</v>
      </c>
      <c r="D267" s="33">
        <v>15</v>
      </c>
      <c r="E267" s="69">
        <v>263.56</v>
      </c>
      <c r="F267" s="69">
        <f t="shared" si="199"/>
        <v>3953.4</v>
      </c>
      <c r="G267" s="69">
        <v>400</v>
      </c>
      <c r="H267" s="133">
        <f>(E267*4)</f>
        <v>1054.24</v>
      </c>
      <c r="I267" s="69">
        <f>VLOOKUP($F$315,Tabisr,1)</f>
        <v>2422.81</v>
      </c>
      <c r="J267" s="70">
        <f t="shared" si="184"/>
        <v>1530.5900000000001</v>
      </c>
      <c r="K267" s="71">
        <f>VLOOKUP($F$315,Tabisr,4)</f>
        <v>0.10879999999999999</v>
      </c>
      <c r="L267" s="69">
        <f>(F267-3651.01)*16%</f>
        <v>48.382399999999983</v>
      </c>
      <c r="M267" s="69">
        <v>293.25</v>
      </c>
      <c r="N267" s="69">
        <f>L267+M267</f>
        <v>341.63239999999996</v>
      </c>
      <c r="O267" s="69"/>
      <c r="P267" s="246"/>
      <c r="Q267" s="246"/>
      <c r="R267" s="134"/>
      <c r="S267" s="134"/>
      <c r="T267" s="70">
        <f t="shared" si="185"/>
        <v>5066.007599999999</v>
      </c>
      <c r="U267" s="70">
        <f t="shared" si="186"/>
        <v>4666.007599999999</v>
      </c>
    </row>
    <row r="268" spans="1:21" s="75" customFormat="1" x14ac:dyDescent="0.25">
      <c r="A268" s="40">
        <v>268</v>
      </c>
      <c r="B268" s="67" t="s">
        <v>374</v>
      </c>
      <c r="C268" s="67" t="s">
        <v>77</v>
      </c>
      <c r="D268" s="33">
        <v>15</v>
      </c>
      <c r="E268" s="69">
        <v>263.56</v>
      </c>
      <c r="F268" s="69">
        <f t="shared" si="199"/>
        <v>3953.4</v>
      </c>
      <c r="G268" s="69">
        <v>400</v>
      </c>
      <c r="H268" s="133"/>
      <c r="I268" s="69">
        <f>VLOOKUP($F$315,Tabisr,1)</f>
        <v>2422.81</v>
      </c>
      <c r="J268" s="70">
        <f t="shared" ref="J268" si="200">+F268-I268</f>
        <v>1530.5900000000001</v>
      </c>
      <c r="K268" s="71">
        <f>VLOOKUP($F$315,Tabisr,4)</f>
        <v>0.10879999999999999</v>
      </c>
      <c r="L268" s="69">
        <f>(F268-3651.01)*16%</f>
        <v>48.382399999999983</v>
      </c>
      <c r="M268" s="69">
        <v>293.25</v>
      </c>
      <c r="N268" s="69">
        <f>L268+M268</f>
        <v>341.63239999999996</v>
      </c>
      <c r="O268" s="69"/>
      <c r="P268" s="246"/>
      <c r="Q268" s="247">
        <v>795</v>
      </c>
      <c r="R268" s="134"/>
      <c r="S268" s="134"/>
      <c r="T268" s="70">
        <f t="shared" ref="T268" si="201">F268+G268+H268-N268+O268-P268-Q268-R268-S268</f>
        <v>3216.7675999999997</v>
      </c>
      <c r="U268" s="70">
        <f t="shared" ref="U268" si="202">T268-G268</f>
        <v>2816.7675999999997</v>
      </c>
    </row>
    <row r="269" spans="1:21" s="75" customFormat="1" x14ac:dyDescent="0.25">
      <c r="A269" s="40"/>
      <c r="B269" s="67" t="s">
        <v>481</v>
      </c>
      <c r="C269" s="67" t="s">
        <v>77</v>
      </c>
      <c r="D269" s="33">
        <v>15</v>
      </c>
      <c r="E269" s="69">
        <v>263.56</v>
      </c>
      <c r="F269" s="69">
        <f t="shared" ref="F269" si="203">D269*E269</f>
        <v>3953.4</v>
      </c>
      <c r="G269" s="69">
        <v>400</v>
      </c>
      <c r="H269" s="133">
        <f>E269/8*15</f>
        <v>494.17500000000001</v>
      </c>
      <c r="I269" s="69">
        <f>VLOOKUP($F$315,Tabisr,1)</f>
        <v>2422.81</v>
      </c>
      <c r="J269" s="70">
        <f t="shared" ref="J269" si="204">+F269-I269</f>
        <v>1530.5900000000001</v>
      </c>
      <c r="K269" s="71">
        <f>VLOOKUP($F$315,Tabisr,4)</f>
        <v>0.10879999999999999</v>
      </c>
      <c r="L269" s="69">
        <f>(F269-3651.01)*16%</f>
        <v>48.382399999999983</v>
      </c>
      <c r="M269" s="69">
        <v>293.25</v>
      </c>
      <c r="N269" s="69">
        <f>L269+M269</f>
        <v>341.63239999999996</v>
      </c>
      <c r="O269" s="69"/>
      <c r="P269" s="246"/>
      <c r="Q269" s="246"/>
      <c r="R269" s="134"/>
      <c r="S269" s="134"/>
      <c r="T269" s="70">
        <f t="shared" ref="T269" si="205">F269+G269+H269-N269+O269-P269-Q269-R269-S269</f>
        <v>4505.9426000000003</v>
      </c>
      <c r="U269" s="70">
        <f t="shared" ref="U269" si="206">T269-G269</f>
        <v>4105.9426000000003</v>
      </c>
    </row>
    <row r="270" spans="1:21" s="75" customFormat="1" ht="24" x14ac:dyDescent="0.25">
      <c r="A270" s="40">
        <v>138</v>
      </c>
      <c r="B270" s="67" t="s">
        <v>359</v>
      </c>
      <c r="C270" s="67" t="s">
        <v>471</v>
      </c>
      <c r="D270" s="33">
        <v>15</v>
      </c>
      <c r="E270" s="94">
        <v>661.33</v>
      </c>
      <c r="F270" s="94">
        <f t="shared" si="199"/>
        <v>9919.9500000000007</v>
      </c>
      <c r="G270" s="94"/>
      <c r="H270" s="95"/>
      <c r="I270" s="94" t="e">
        <f>VLOOKUP($F$216,Tabisr,1)</f>
        <v>#N/A</v>
      </c>
      <c r="J270" s="95" t="e">
        <f t="shared" si="184"/>
        <v>#N/A</v>
      </c>
      <c r="K270" s="135" t="e">
        <f>VLOOKUP($F$216,Tabisr,4)</f>
        <v>#N/A</v>
      </c>
      <c r="L270" s="69" t="e">
        <f>+J270*K270</f>
        <v>#N/A</v>
      </c>
      <c r="M270" s="69" t="e">
        <f>VLOOKUP($F$216,Tabisr,3)</f>
        <v>#N/A</v>
      </c>
      <c r="N270" s="52">
        <v>1571.8</v>
      </c>
      <c r="O270" s="94"/>
      <c r="P270" s="255"/>
      <c r="Q270" s="255"/>
      <c r="R270" s="94"/>
      <c r="S270" s="94"/>
      <c r="T270" s="70">
        <f t="shared" si="185"/>
        <v>8348.1500000000015</v>
      </c>
      <c r="U270" s="70">
        <f t="shared" si="186"/>
        <v>8348.1500000000015</v>
      </c>
    </row>
    <row r="271" spans="1:21" s="75" customFormat="1" ht="24" x14ac:dyDescent="0.25">
      <c r="A271" s="40">
        <v>296</v>
      </c>
      <c r="B271" s="67" t="s">
        <v>473</v>
      </c>
      <c r="C271" s="67" t="s">
        <v>472</v>
      </c>
      <c r="D271" s="33">
        <v>15</v>
      </c>
      <c r="E271" s="69">
        <v>263.56</v>
      </c>
      <c r="F271" s="69">
        <f t="shared" si="199"/>
        <v>3953.4</v>
      </c>
      <c r="G271" s="69">
        <v>400</v>
      </c>
      <c r="H271" s="133"/>
      <c r="I271" s="69">
        <f>VLOOKUP($F$315,Tabisr,1)</f>
        <v>2422.81</v>
      </c>
      <c r="J271" s="70">
        <f t="shared" si="184"/>
        <v>1530.5900000000001</v>
      </c>
      <c r="K271" s="71">
        <f>VLOOKUP($F$315,Tabisr,4)</f>
        <v>0.10879999999999999</v>
      </c>
      <c r="L271" s="69">
        <f>(F271-3651.01)*16%</f>
        <v>48.382399999999983</v>
      </c>
      <c r="M271" s="69">
        <v>293.25</v>
      </c>
      <c r="N271" s="69">
        <f>L271+M271</f>
        <v>341.63239999999996</v>
      </c>
      <c r="O271" s="69"/>
      <c r="P271" s="246"/>
      <c r="Q271" s="246"/>
      <c r="R271" s="134"/>
      <c r="S271" s="134"/>
      <c r="T271" s="70">
        <f t="shared" si="185"/>
        <v>4011.7675999999997</v>
      </c>
      <c r="U271" s="70">
        <f t="shared" si="186"/>
        <v>3611.7675999999997</v>
      </c>
    </row>
    <row r="272" spans="1:21" s="75" customFormat="1" x14ac:dyDescent="0.25">
      <c r="A272" s="40">
        <v>139</v>
      </c>
      <c r="B272" s="67" t="s">
        <v>32</v>
      </c>
      <c r="C272" s="67" t="s">
        <v>132</v>
      </c>
      <c r="D272" s="33">
        <v>15</v>
      </c>
      <c r="E272" s="69">
        <v>260.62</v>
      </c>
      <c r="F272" s="69">
        <f t="shared" si="183"/>
        <v>3909.3</v>
      </c>
      <c r="G272" s="69">
        <v>400</v>
      </c>
      <c r="H272" s="69">
        <f>E272/8*15</f>
        <v>488.66250000000002</v>
      </c>
      <c r="I272" s="69">
        <f>VLOOKUP($F$272,Tabisr,1)</f>
        <v>2422.81</v>
      </c>
      <c r="J272" s="70">
        <f t="shared" si="184"/>
        <v>1486.4900000000002</v>
      </c>
      <c r="K272" s="71">
        <f>VLOOKUP($F$272,Tabisr,4)</f>
        <v>0.10879999999999999</v>
      </c>
      <c r="L272" s="69">
        <f>(F272-2077.51)*10.88%-37.95</f>
        <v>161.34875199999999</v>
      </c>
      <c r="M272" s="69">
        <v>121.95</v>
      </c>
      <c r="N272" s="69">
        <f t="shared" ref="N272:N284" si="207">M272+L272</f>
        <v>283.29875199999998</v>
      </c>
      <c r="O272" s="69">
        <f t="shared" si="195"/>
        <v>0</v>
      </c>
      <c r="P272" s="246"/>
      <c r="Q272" s="246"/>
      <c r="R272" s="69"/>
      <c r="S272" s="69"/>
      <c r="T272" s="70">
        <f t="shared" si="185"/>
        <v>4514.6637480000009</v>
      </c>
      <c r="U272" s="70">
        <f t="shared" si="186"/>
        <v>4114.6637480000009</v>
      </c>
    </row>
    <row r="273" spans="1:22" s="75" customFormat="1" x14ac:dyDescent="0.25">
      <c r="A273" s="40">
        <v>295</v>
      </c>
      <c r="B273" s="67" t="s">
        <v>469</v>
      </c>
      <c r="C273" s="67" t="s">
        <v>132</v>
      </c>
      <c r="D273" s="33">
        <v>15</v>
      </c>
      <c r="E273" s="69">
        <v>260.62</v>
      </c>
      <c r="F273" s="69">
        <f t="shared" ref="F273" si="208">D273*E273</f>
        <v>3909.3</v>
      </c>
      <c r="G273" s="69">
        <v>400</v>
      </c>
      <c r="H273" s="69"/>
      <c r="I273" s="69">
        <f>VLOOKUP($F$272,Tabisr,1)</f>
        <v>2422.81</v>
      </c>
      <c r="J273" s="70">
        <f t="shared" ref="J273" si="209">+F273-I273</f>
        <v>1486.4900000000002</v>
      </c>
      <c r="K273" s="71">
        <f>VLOOKUP($F$272,Tabisr,4)</f>
        <v>0.10879999999999999</v>
      </c>
      <c r="L273" s="69">
        <f>(F273-2077.51)*10.88%-37.95</f>
        <v>161.34875199999999</v>
      </c>
      <c r="M273" s="69">
        <v>121.95</v>
      </c>
      <c r="N273" s="69">
        <f t="shared" ref="N273" si="210">M273+L273</f>
        <v>283.29875199999998</v>
      </c>
      <c r="O273" s="69">
        <f t="shared" si="195"/>
        <v>0</v>
      </c>
      <c r="P273" s="246"/>
      <c r="Q273" s="246"/>
      <c r="R273" s="69"/>
      <c r="S273" s="69"/>
      <c r="T273" s="70">
        <f t="shared" ref="T273" si="211">F273+G273+H273-N273+O273-P273-Q273-R273-S273</f>
        <v>4026.001248</v>
      </c>
      <c r="U273" s="70">
        <f t="shared" ref="U273" si="212">T273-G273</f>
        <v>3626.001248</v>
      </c>
    </row>
    <row r="274" spans="1:22" s="75" customFormat="1" x14ac:dyDescent="0.25">
      <c r="A274" s="40">
        <v>140</v>
      </c>
      <c r="B274" s="67" t="s">
        <v>376</v>
      </c>
      <c r="C274" s="67" t="s">
        <v>89</v>
      </c>
      <c r="D274" s="33">
        <v>15</v>
      </c>
      <c r="E274" s="69">
        <v>260.62</v>
      </c>
      <c r="F274" s="69">
        <f t="shared" ref="F274" si="213">D274*E274</f>
        <v>3909.3</v>
      </c>
      <c r="G274" s="69">
        <v>400</v>
      </c>
      <c r="H274" s="33"/>
      <c r="I274" s="69">
        <f>VLOOKUP($F$275,Tabisr,1)</f>
        <v>2422.81</v>
      </c>
      <c r="J274" s="70">
        <f t="shared" ref="J274" si="214">+F274-I274</f>
        <v>1486.4900000000002</v>
      </c>
      <c r="K274" s="71">
        <f>VLOOKUP($F$275,Tabisr,4)</f>
        <v>0.10879999999999999</v>
      </c>
      <c r="L274" s="69">
        <f>(F274-3651.01)*16%</f>
        <v>41.326399999999992</v>
      </c>
      <c r="M274" s="69">
        <v>293.25</v>
      </c>
      <c r="N274" s="69">
        <f t="shared" ref="N274" si="215">M274+L274</f>
        <v>334.57639999999998</v>
      </c>
      <c r="O274" s="69">
        <f>VLOOKUP($F$275,Tabsub,3)</f>
        <v>0</v>
      </c>
      <c r="P274" s="246"/>
      <c r="Q274" s="246"/>
      <c r="R274" s="69"/>
      <c r="S274" s="69"/>
      <c r="T274" s="70">
        <f t="shared" ref="T274" si="216">F274+G274+H274-N274+O274-P274-Q274-R274-S274</f>
        <v>3974.7236000000003</v>
      </c>
      <c r="U274" s="70">
        <f t="shared" ref="U274" si="217">T274-G274</f>
        <v>3574.7236000000003</v>
      </c>
    </row>
    <row r="275" spans="1:22" s="75" customFormat="1" x14ac:dyDescent="0.25">
      <c r="A275" s="40">
        <v>141</v>
      </c>
      <c r="B275" s="67" t="s">
        <v>63</v>
      </c>
      <c r="C275" s="67" t="s">
        <v>89</v>
      </c>
      <c r="D275" s="33">
        <v>15</v>
      </c>
      <c r="E275" s="69">
        <v>260.62</v>
      </c>
      <c r="F275" s="69">
        <f t="shared" si="183"/>
        <v>3909.3</v>
      </c>
      <c r="G275" s="69">
        <v>400</v>
      </c>
      <c r="H275" s="33"/>
      <c r="I275" s="69">
        <f>VLOOKUP($F$275,Tabisr,1)</f>
        <v>2422.81</v>
      </c>
      <c r="J275" s="70">
        <f t="shared" si="184"/>
        <v>1486.4900000000002</v>
      </c>
      <c r="K275" s="71">
        <f>VLOOKUP($F$275,Tabisr,4)</f>
        <v>0.10879999999999999</v>
      </c>
      <c r="L275" s="69">
        <f>(F275-3651.01)*16%</f>
        <v>41.326399999999992</v>
      </c>
      <c r="M275" s="69">
        <v>293.25</v>
      </c>
      <c r="N275" s="69">
        <f t="shared" si="207"/>
        <v>334.57639999999998</v>
      </c>
      <c r="O275" s="69">
        <f>VLOOKUP($F$275,Tabsub,3)</f>
        <v>0</v>
      </c>
      <c r="P275" s="246"/>
      <c r="Q275" s="246"/>
      <c r="R275" s="69"/>
      <c r="S275" s="69"/>
      <c r="T275" s="70">
        <f t="shared" si="185"/>
        <v>3974.7236000000003</v>
      </c>
      <c r="U275" s="70">
        <f t="shared" si="186"/>
        <v>3574.7236000000003</v>
      </c>
    </row>
    <row r="276" spans="1:22" s="75" customFormat="1" x14ac:dyDescent="0.25">
      <c r="A276" s="40">
        <v>259</v>
      </c>
      <c r="B276" s="67" t="s">
        <v>365</v>
      </c>
      <c r="C276" s="67" t="s">
        <v>89</v>
      </c>
      <c r="D276" s="33">
        <v>15</v>
      </c>
      <c r="E276" s="69">
        <v>260.62</v>
      </c>
      <c r="F276" s="69">
        <f t="shared" ref="F276" si="218">D276*E276</f>
        <v>3909.3</v>
      </c>
      <c r="G276" s="69">
        <v>400</v>
      </c>
      <c r="H276" s="33"/>
      <c r="I276" s="69">
        <f>VLOOKUP($F$275,Tabisr,1)</f>
        <v>2422.81</v>
      </c>
      <c r="J276" s="70">
        <f t="shared" si="184"/>
        <v>1486.4900000000002</v>
      </c>
      <c r="K276" s="71">
        <f>VLOOKUP($F$275,Tabisr,4)</f>
        <v>0.10879999999999999</v>
      </c>
      <c r="L276" s="69">
        <f>(F276-3651.01)*16%</f>
        <v>41.326399999999992</v>
      </c>
      <c r="M276" s="69">
        <v>293.25</v>
      </c>
      <c r="N276" s="69">
        <f t="shared" ref="N276" si="219">M276+L276</f>
        <v>334.57639999999998</v>
      </c>
      <c r="O276" s="69">
        <f>VLOOKUP($F$275,Tabsub,3)</f>
        <v>0</v>
      </c>
      <c r="P276" s="246"/>
      <c r="Q276" s="247">
        <v>910</v>
      </c>
      <c r="R276" s="69"/>
      <c r="S276" s="69"/>
      <c r="T276" s="70">
        <f t="shared" si="185"/>
        <v>3064.7236000000003</v>
      </c>
      <c r="U276" s="70">
        <f t="shared" si="186"/>
        <v>2664.7236000000003</v>
      </c>
    </row>
    <row r="277" spans="1:22" s="75" customFormat="1" x14ac:dyDescent="0.25">
      <c r="A277" s="38">
        <v>260</v>
      </c>
      <c r="B277" s="57" t="s">
        <v>244</v>
      </c>
      <c r="C277" s="57" t="s">
        <v>89</v>
      </c>
      <c r="D277" s="14"/>
      <c r="E277" s="59"/>
      <c r="F277" s="59"/>
      <c r="G277" s="59"/>
      <c r="H277" s="156"/>
      <c r="I277" s="59"/>
      <c r="J277" s="61"/>
      <c r="K277" s="62"/>
      <c r="L277" s="59"/>
      <c r="M277" s="59"/>
      <c r="N277" s="59"/>
      <c r="O277" s="59"/>
      <c r="P277" s="59"/>
      <c r="Q277" s="59"/>
      <c r="R277" s="59"/>
      <c r="S277" s="59"/>
      <c r="T277" s="61"/>
      <c r="U277" s="61"/>
    </row>
    <row r="278" spans="1:22" s="75" customFormat="1" ht="36" x14ac:dyDescent="0.25">
      <c r="A278" s="40">
        <v>142</v>
      </c>
      <c r="B278" s="67" t="s">
        <v>61</v>
      </c>
      <c r="C278" s="67" t="s">
        <v>86</v>
      </c>
      <c r="D278" s="12">
        <v>15</v>
      </c>
      <c r="E278" s="69">
        <v>260.62</v>
      </c>
      <c r="F278" s="69">
        <f t="shared" si="183"/>
        <v>3909.3</v>
      </c>
      <c r="G278" s="69">
        <v>400</v>
      </c>
      <c r="H278" s="132"/>
      <c r="I278" s="69">
        <f>VLOOKUP($F$278,Tabisr,1)</f>
        <v>2422.81</v>
      </c>
      <c r="J278" s="70">
        <f t="shared" ref="J278:J294" si="220">+F278-I278</f>
        <v>1486.4900000000002</v>
      </c>
      <c r="K278" s="71">
        <f>VLOOKUP($F$278,Tabisr,4)</f>
        <v>0.10879999999999999</v>
      </c>
      <c r="L278" s="69">
        <f>(F278-3651.01)*16%</f>
        <v>41.326399999999992</v>
      </c>
      <c r="M278" s="69">
        <v>293.25</v>
      </c>
      <c r="N278" s="69">
        <f t="shared" si="207"/>
        <v>334.57639999999998</v>
      </c>
      <c r="O278" s="69">
        <f>VLOOKUP($F$278,Tabsub,3)</f>
        <v>0</v>
      </c>
      <c r="P278" s="69"/>
      <c r="Q278" s="69"/>
      <c r="R278" s="69"/>
      <c r="S278" s="69"/>
      <c r="T278" s="70">
        <f t="shared" ref="T278:T294" si="221">F278+G278+H278-N278+O278-P278-Q278-R278-S278</f>
        <v>3974.7236000000003</v>
      </c>
      <c r="U278" s="70">
        <f t="shared" ref="U278:U291" si="222">T278-G278</f>
        <v>3574.7236000000003</v>
      </c>
    </row>
    <row r="279" spans="1:22" s="66" customFormat="1" x14ac:dyDescent="0.25">
      <c r="A279" s="40">
        <v>143</v>
      </c>
      <c r="B279" s="67" t="s">
        <v>7</v>
      </c>
      <c r="C279" s="67" t="s">
        <v>118</v>
      </c>
      <c r="D279" s="12">
        <v>15</v>
      </c>
      <c r="E279" s="69">
        <v>312.26</v>
      </c>
      <c r="F279" s="69">
        <f t="shared" ref="F279:F284" si="223">D279*E279</f>
        <v>4683.8999999999996</v>
      </c>
      <c r="G279" s="69">
        <v>400</v>
      </c>
      <c r="H279" s="132"/>
      <c r="I279" s="69">
        <f>VLOOKUP($F$279,Tabisr,1)</f>
        <v>4257.91</v>
      </c>
      <c r="J279" s="70">
        <f t="shared" si="220"/>
        <v>425.98999999999978</v>
      </c>
      <c r="K279" s="71">
        <f>VLOOKUP($F$279,Tabisr,4)</f>
        <v>0.16</v>
      </c>
      <c r="L279" s="69">
        <f>(F279-3651.01)*16%</f>
        <v>165.2623999999999</v>
      </c>
      <c r="M279" s="69">
        <v>293.25</v>
      </c>
      <c r="N279" s="69">
        <f t="shared" si="207"/>
        <v>458.5123999999999</v>
      </c>
      <c r="O279" s="69">
        <f>VLOOKUP($F$279,Tabsub,3)</f>
        <v>0</v>
      </c>
      <c r="P279" s="69"/>
      <c r="Q279" s="69"/>
      <c r="R279" s="69"/>
      <c r="S279" s="69"/>
      <c r="T279" s="70">
        <f t="shared" si="221"/>
        <v>4625.3876</v>
      </c>
      <c r="U279" s="70">
        <f t="shared" si="222"/>
        <v>4225.3876</v>
      </c>
    </row>
    <row r="280" spans="1:22" s="72" customFormat="1" x14ac:dyDescent="0.25">
      <c r="A280" s="40">
        <v>144</v>
      </c>
      <c r="B280" s="67" t="s">
        <v>4</v>
      </c>
      <c r="C280" s="68" t="s">
        <v>82</v>
      </c>
      <c r="D280" s="12">
        <v>15</v>
      </c>
      <c r="E280" s="69">
        <v>264.56</v>
      </c>
      <c r="F280" s="69">
        <f t="shared" ref="F280:F281" si="224">D280*E280</f>
        <v>3968.4</v>
      </c>
      <c r="G280" s="69">
        <v>400</v>
      </c>
      <c r="H280" s="132">
        <f>(E280*2)</f>
        <v>529.12</v>
      </c>
      <c r="I280" s="69">
        <f>VLOOKUP($F$281,Tabisr,1)</f>
        <v>2422.81</v>
      </c>
      <c r="J280" s="70">
        <f t="shared" ref="J280:J281" si="225">+F280-I280</f>
        <v>1545.5900000000001</v>
      </c>
      <c r="K280" s="71">
        <f>VLOOKUP($F$281,Tabisr,4)</f>
        <v>0.10879999999999999</v>
      </c>
      <c r="L280" s="69">
        <f>(F280-3651.01)*16%</f>
        <v>50.782399999999981</v>
      </c>
      <c r="M280" s="69">
        <v>293.25</v>
      </c>
      <c r="N280" s="69">
        <f>M280+L280</f>
        <v>344.0324</v>
      </c>
      <c r="O280" s="69"/>
      <c r="P280" s="69"/>
      <c r="Q280" s="69"/>
      <c r="R280" s="69"/>
      <c r="S280" s="69"/>
      <c r="T280" s="70">
        <f t="shared" ref="T280:T281" si="226">F280+G280+H280-N280+O280-P280-Q280-R280-S280</f>
        <v>4553.4875999999995</v>
      </c>
      <c r="U280" s="70">
        <f t="shared" ref="U280:U281" si="227">T280-G280</f>
        <v>4153.4875999999995</v>
      </c>
    </row>
    <row r="281" spans="1:22" s="72" customFormat="1" x14ac:dyDescent="0.25">
      <c r="A281" s="40">
        <v>145</v>
      </c>
      <c r="B281" s="67" t="s">
        <v>369</v>
      </c>
      <c r="C281" s="68" t="s">
        <v>400</v>
      </c>
      <c r="D281" s="12">
        <v>15</v>
      </c>
      <c r="E281" s="69">
        <v>264.56</v>
      </c>
      <c r="F281" s="69">
        <f t="shared" si="224"/>
        <v>3968.4</v>
      </c>
      <c r="G281" s="69">
        <v>400</v>
      </c>
      <c r="H281" s="132">
        <f>(264.56*5)</f>
        <v>1322.8</v>
      </c>
      <c r="I281" s="69">
        <f>VLOOKUP($F$281,Tabisr,1)</f>
        <v>2422.81</v>
      </c>
      <c r="J281" s="70">
        <f t="shared" si="225"/>
        <v>1545.5900000000001</v>
      </c>
      <c r="K281" s="71">
        <f>VLOOKUP($F$281,Tabisr,4)</f>
        <v>0.10879999999999999</v>
      </c>
      <c r="L281" s="69">
        <f>(F281-3651.01)*16%</f>
        <v>50.782399999999981</v>
      </c>
      <c r="M281" s="69">
        <v>293.25</v>
      </c>
      <c r="N281" s="69">
        <f>M281+L281</f>
        <v>344.0324</v>
      </c>
      <c r="O281" s="69"/>
      <c r="P281" s="69"/>
      <c r="Q281" s="69"/>
      <c r="R281" s="69"/>
      <c r="S281" s="69"/>
      <c r="T281" s="70">
        <f t="shared" si="226"/>
        <v>5347.1675999999998</v>
      </c>
      <c r="U281" s="70">
        <f t="shared" si="227"/>
        <v>4947.1675999999998</v>
      </c>
    </row>
    <row r="282" spans="1:22" s="72" customFormat="1" x14ac:dyDescent="0.25">
      <c r="A282" s="40">
        <v>146</v>
      </c>
      <c r="B282" s="67" t="s">
        <v>126</v>
      </c>
      <c r="C282" s="67" t="s">
        <v>82</v>
      </c>
      <c r="D282" s="12">
        <v>15</v>
      </c>
      <c r="E282" s="69">
        <v>264.56</v>
      </c>
      <c r="F282" s="69">
        <f t="shared" si="223"/>
        <v>3968.4</v>
      </c>
      <c r="G282" s="69">
        <v>400</v>
      </c>
      <c r="H282" s="132">
        <f>(264.56)</f>
        <v>264.56</v>
      </c>
      <c r="I282" s="69">
        <f>VLOOKUP($F$281,Tabisr,1)</f>
        <v>2422.81</v>
      </c>
      <c r="J282" s="70">
        <f t="shared" si="220"/>
        <v>1545.5900000000001</v>
      </c>
      <c r="K282" s="71">
        <f>VLOOKUP($F$281,Tabisr,4)</f>
        <v>0.10879999999999999</v>
      </c>
      <c r="L282" s="69">
        <f>(F282-3651.01)*16%</f>
        <v>50.782399999999981</v>
      </c>
      <c r="M282" s="69">
        <v>293.25</v>
      </c>
      <c r="N282" s="69">
        <f>M282+L282</f>
        <v>344.0324</v>
      </c>
      <c r="O282" s="69"/>
      <c r="P282" s="69"/>
      <c r="Q282" s="69"/>
      <c r="R282" s="69"/>
      <c r="S282" s="69"/>
      <c r="T282" s="70">
        <f t="shared" si="221"/>
        <v>4288.9276</v>
      </c>
      <c r="U282" s="70">
        <f t="shared" si="222"/>
        <v>3888.9276</v>
      </c>
    </row>
    <row r="283" spans="1:22" s="72" customFormat="1" x14ac:dyDescent="0.25">
      <c r="A283" s="40">
        <v>148</v>
      </c>
      <c r="B283" s="67" t="s">
        <v>380</v>
      </c>
      <c r="C283" s="67" t="s">
        <v>81</v>
      </c>
      <c r="D283" s="12">
        <v>15</v>
      </c>
      <c r="E283" s="69">
        <v>253.77</v>
      </c>
      <c r="F283" s="69">
        <f>D283*E283</f>
        <v>3806.55</v>
      </c>
      <c r="G283" s="69">
        <v>400</v>
      </c>
      <c r="H283" s="132">
        <f>(E283*3)</f>
        <v>761.31000000000006</v>
      </c>
      <c r="I283" s="69">
        <f>VLOOKUP($F$284,Tabisr,1)</f>
        <v>2422.81</v>
      </c>
      <c r="J283" s="70">
        <f t="shared" ref="J283" si="228">+F283-I283</f>
        <v>1383.7400000000002</v>
      </c>
      <c r="K283" s="71">
        <f>VLOOKUP($F$284,Tabisr,4)</f>
        <v>0.10879999999999999</v>
      </c>
      <c r="L283" s="69">
        <f t="shared" ref="L283" si="229">(F283-2077.51)*10.88%</f>
        <v>188.119552</v>
      </c>
      <c r="M283" s="69">
        <v>122.95</v>
      </c>
      <c r="N283" s="69">
        <v>315.45</v>
      </c>
      <c r="O283" s="69"/>
      <c r="P283" s="69"/>
      <c r="Q283" s="69"/>
      <c r="R283" s="69"/>
      <c r="S283" s="69"/>
      <c r="T283" s="70">
        <f t="shared" ref="T283" si="230">F283+G283+H283-N283+O283-P283-Q283-R283-S283</f>
        <v>4652.4100000000008</v>
      </c>
      <c r="U283" s="70">
        <f t="shared" ref="U283" si="231">T283-G283</f>
        <v>4252.4100000000008</v>
      </c>
      <c r="V283" s="75"/>
    </row>
    <row r="284" spans="1:22" s="72" customFormat="1" x14ac:dyDescent="0.25">
      <c r="A284" s="40">
        <v>149</v>
      </c>
      <c r="B284" s="67" t="s">
        <v>44</v>
      </c>
      <c r="C284" s="67" t="s">
        <v>81</v>
      </c>
      <c r="D284" s="12">
        <v>15</v>
      </c>
      <c r="E284" s="69">
        <v>253.77</v>
      </c>
      <c r="F284" s="69">
        <f t="shared" si="223"/>
        <v>3806.55</v>
      </c>
      <c r="G284" s="69">
        <v>400</v>
      </c>
      <c r="H284" s="132">
        <f>(E284*5)</f>
        <v>1268.8500000000001</v>
      </c>
      <c r="I284" s="69">
        <f>VLOOKUP($F$284,Tabisr,1)</f>
        <v>2422.81</v>
      </c>
      <c r="J284" s="70">
        <f t="shared" si="220"/>
        <v>1383.7400000000002</v>
      </c>
      <c r="K284" s="71">
        <f>VLOOKUP($F$284,Tabisr,4)</f>
        <v>0.10879999999999999</v>
      </c>
      <c r="L284" s="69">
        <f t="shared" ref="L284:L294" si="232">(F284-2077.51)*10.88%</f>
        <v>188.119552</v>
      </c>
      <c r="M284" s="69">
        <v>121.95</v>
      </c>
      <c r="N284" s="69">
        <f t="shared" si="207"/>
        <v>310.06955199999999</v>
      </c>
      <c r="O284" s="69"/>
      <c r="P284" s="69"/>
      <c r="Q284" s="69"/>
      <c r="R284" s="69"/>
      <c r="S284" s="69"/>
      <c r="T284" s="70">
        <f t="shared" si="221"/>
        <v>5165.3304480000006</v>
      </c>
      <c r="U284" s="70">
        <f t="shared" si="222"/>
        <v>4765.3304480000006</v>
      </c>
    </row>
    <row r="285" spans="1:22" s="72" customFormat="1" x14ac:dyDescent="0.25">
      <c r="A285" s="40">
        <v>150</v>
      </c>
      <c r="B285" s="67" t="s">
        <v>245</v>
      </c>
      <c r="C285" s="67" t="s">
        <v>81</v>
      </c>
      <c r="D285" s="12">
        <v>15</v>
      </c>
      <c r="E285" s="69">
        <v>253.77</v>
      </c>
      <c r="F285" s="69">
        <f t="shared" ref="F285:F289" si="233">D285*E285</f>
        <v>3806.55</v>
      </c>
      <c r="G285" s="69">
        <v>400</v>
      </c>
      <c r="H285" s="132">
        <f>(E285*5)</f>
        <v>1268.8500000000001</v>
      </c>
      <c r="I285" s="69">
        <f>VLOOKUP($F$284,Tabisr,1)</f>
        <v>2422.81</v>
      </c>
      <c r="J285" s="70">
        <f t="shared" si="220"/>
        <v>1383.7400000000002</v>
      </c>
      <c r="K285" s="71">
        <f>VLOOKUP($F$284,Tabisr,4)</f>
        <v>0.10879999999999999</v>
      </c>
      <c r="L285" s="69">
        <f t="shared" si="232"/>
        <v>188.119552</v>
      </c>
      <c r="M285" s="69">
        <v>121.95</v>
      </c>
      <c r="N285" s="69">
        <f>M285+L285</f>
        <v>310.06955199999999</v>
      </c>
      <c r="O285" s="69"/>
      <c r="P285" s="246">
        <v>1250</v>
      </c>
      <c r="Q285" s="246"/>
      <c r="R285" s="69"/>
      <c r="S285" s="69"/>
      <c r="T285" s="70">
        <f t="shared" si="221"/>
        <v>3915.3304480000006</v>
      </c>
      <c r="U285" s="70">
        <f t="shared" si="222"/>
        <v>3515.3304480000006</v>
      </c>
    </row>
    <row r="286" spans="1:22" s="75" customFormat="1" x14ac:dyDescent="0.25">
      <c r="A286" s="40">
        <v>152</v>
      </c>
      <c r="B286" s="67" t="s">
        <v>295</v>
      </c>
      <c r="C286" s="67" t="s">
        <v>81</v>
      </c>
      <c r="D286" s="12">
        <v>15</v>
      </c>
      <c r="E286" s="69">
        <v>253.77</v>
      </c>
      <c r="F286" s="69">
        <f>D286*E286</f>
        <v>3806.55</v>
      </c>
      <c r="G286" s="69">
        <v>400</v>
      </c>
      <c r="H286" s="132">
        <f>E286*7</f>
        <v>1776.39</v>
      </c>
      <c r="I286" s="69">
        <f>VLOOKUP($F$284,Tabisr,1)</f>
        <v>2422.81</v>
      </c>
      <c r="J286" s="70">
        <f t="shared" si="220"/>
        <v>1383.7400000000002</v>
      </c>
      <c r="K286" s="71">
        <f>VLOOKUP($F$284,Tabisr,4)</f>
        <v>0.10879999999999999</v>
      </c>
      <c r="L286" s="69">
        <f t="shared" si="232"/>
        <v>188.119552</v>
      </c>
      <c r="M286" s="69">
        <v>122.95</v>
      </c>
      <c r="N286" s="69">
        <v>315.45</v>
      </c>
      <c r="O286" s="69"/>
      <c r="P286" s="246"/>
      <c r="Q286" s="246"/>
      <c r="R286" s="69"/>
      <c r="S286" s="69"/>
      <c r="T286" s="70">
        <f t="shared" si="221"/>
        <v>5667.4900000000007</v>
      </c>
      <c r="U286" s="70">
        <f t="shared" si="222"/>
        <v>5267.4900000000007</v>
      </c>
    </row>
    <row r="287" spans="1:22" s="72" customFormat="1" x14ac:dyDescent="0.25">
      <c r="A287" s="40">
        <v>153</v>
      </c>
      <c r="B287" s="50" t="s">
        <v>363</v>
      </c>
      <c r="C287" s="50" t="s">
        <v>81</v>
      </c>
      <c r="D287" s="12">
        <v>15</v>
      </c>
      <c r="E287" s="69">
        <v>253.77</v>
      </c>
      <c r="F287" s="69">
        <f>D287*E287</f>
        <v>3806.55</v>
      </c>
      <c r="G287" s="69">
        <v>400</v>
      </c>
      <c r="H287" s="132">
        <f>(E287*7)</f>
        <v>1776.39</v>
      </c>
      <c r="I287" s="69">
        <f>VLOOKUP($F$284,Tabisr,1)</f>
        <v>2422.81</v>
      </c>
      <c r="J287" s="70">
        <f t="shared" si="220"/>
        <v>1383.7400000000002</v>
      </c>
      <c r="K287" s="71">
        <f>VLOOKUP($F$284,Tabisr,4)</f>
        <v>0.10879999999999999</v>
      </c>
      <c r="L287" s="69">
        <f t="shared" si="232"/>
        <v>188.119552</v>
      </c>
      <c r="M287" s="69">
        <v>122.95</v>
      </c>
      <c r="N287" s="69">
        <v>315.45</v>
      </c>
      <c r="O287" s="69"/>
      <c r="P287" s="246"/>
      <c r="Q287" s="246"/>
      <c r="R287" s="69"/>
      <c r="S287" s="69"/>
      <c r="T287" s="70">
        <f t="shared" si="221"/>
        <v>5667.4900000000007</v>
      </c>
      <c r="U287" s="70">
        <f t="shared" si="222"/>
        <v>5267.4900000000007</v>
      </c>
    </row>
    <row r="288" spans="1:22" s="72" customFormat="1" x14ac:dyDescent="0.25">
      <c r="A288" s="40">
        <v>154</v>
      </c>
      <c r="B288" s="67" t="s">
        <v>109</v>
      </c>
      <c r="C288" s="67" t="s">
        <v>80</v>
      </c>
      <c r="D288" s="12">
        <v>15</v>
      </c>
      <c r="E288" s="69">
        <v>253.77</v>
      </c>
      <c r="F288" s="69">
        <f t="shared" si="233"/>
        <v>3806.55</v>
      </c>
      <c r="G288" s="69">
        <v>400</v>
      </c>
      <c r="H288" s="132"/>
      <c r="I288" s="69">
        <f>VLOOKUP($F$288,Tabisr,1)</f>
        <v>2422.81</v>
      </c>
      <c r="J288" s="70">
        <f t="shared" si="220"/>
        <v>1383.7400000000002</v>
      </c>
      <c r="K288" s="71">
        <f>VLOOKUP($F$288,Tabisr,4)</f>
        <v>0.10879999999999999</v>
      </c>
      <c r="L288" s="69">
        <f t="shared" si="232"/>
        <v>188.119552</v>
      </c>
      <c r="M288" s="69">
        <v>121.95</v>
      </c>
      <c r="N288" s="69">
        <v>315.45</v>
      </c>
      <c r="O288" s="69"/>
      <c r="P288" s="246"/>
      <c r="Q288" s="246"/>
      <c r="R288" s="69"/>
      <c r="S288" s="69"/>
      <c r="T288" s="70">
        <f t="shared" si="221"/>
        <v>3891.1000000000004</v>
      </c>
      <c r="U288" s="70">
        <f t="shared" si="222"/>
        <v>3491.1000000000004</v>
      </c>
    </row>
    <row r="289" spans="1:21" s="72" customFormat="1" x14ac:dyDescent="0.25">
      <c r="A289" s="40">
        <v>155</v>
      </c>
      <c r="B289" s="67" t="s">
        <v>287</v>
      </c>
      <c r="C289" s="67" t="s">
        <v>230</v>
      </c>
      <c r="D289" s="12">
        <v>15</v>
      </c>
      <c r="E289" s="69">
        <v>253.77</v>
      </c>
      <c r="F289" s="69">
        <f t="shared" si="233"/>
        <v>3806.55</v>
      </c>
      <c r="G289" s="69">
        <v>400</v>
      </c>
      <c r="H289" s="132"/>
      <c r="I289" s="69">
        <f>VLOOKUP($F$284,Tabisr,1)</f>
        <v>2422.81</v>
      </c>
      <c r="J289" s="70">
        <f t="shared" si="220"/>
        <v>1383.7400000000002</v>
      </c>
      <c r="K289" s="71">
        <f>VLOOKUP($F$284,Tabisr,4)</f>
        <v>0.10879999999999999</v>
      </c>
      <c r="L289" s="69">
        <f t="shared" si="232"/>
        <v>188.119552</v>
      </c>
      <c r="M289" s="69">
        <v>121.95</v>
      </c>
      <c r="N289" s="69">
        <v>315.45</v>
      </c>
      <c r="O289" s="69"/>
      <c r="P289" s="246"/>
      <c r="Q289" s="246"/>
      <c r="R289" s="69"/>
      <c r="S289" s="69"/>
      <c r="T289" s="70">
        <f t="shared" si="221"/>
        <v>3891.1000000000004</v>
      </c>
      <c r="U289" s="70">
        <f t="shared" si="222"/>
        <v>3491.1000000000004</v>
      </c>
    </row>
    <row r="290" spans="1:21" s="72" customFormat="1" x14ac:dyDescent="0.25">
      <c r="A290" s="38">
        <v>156</v>
      </c>
      <c r="B290" s="57" t="s">
        <v>244</v>
      </c>
      <c r="C290" s="57" t="s">
        <v>80</v>
      </c>
      <c r="D290" s="14"/>
      <c r="E290" s="59"/>
      <c r="F290" s="59"/>
      <c r="G290" s="59"/>
      <c r="H290" s="156"/>
      <c r="I290" s="59"/>
      <c r="J290" s="61"/>
      <c r="K290" s="62"/>
      <c r="L290" s="59"/>
      <c r="M290" s="59"/>
      <c r="N290" s="59"/>
      <c r="O290" s="59"/>
      <c r="P290" s="254"/>
      <c r="Q290" s="254"/>
      <c r="R290" s="59"/>
      <c r="S290" s="59"/>
      <c r="T290" s="61"/>
      <c r="U290" s="61"/>
    </row>
    <row r="291" spans="1:21" s="72" customFormat="1" x14ac:dyDescent="0.25">
      <c r="A291" s="40">
        <v>277</v>
      </c>
      <c r="B291" s="67" t="s">
        <v>417</v>
      </c>
      <c r="C291" s="68" t="s">
        <v>79</v>
      </c>
      <c r="D291" s="12">
        <v>15</v>
      </c>
      <c r="E291" s="69">
        <v>271.86</v>
      </c>
      <c r="F291" s="69">
        <f t="shared" ref="F291" si="234">D291*E291</f>
        <v>4077.9</v>
      </c>
      <c r="G291" s="69">
        <v>400</v>
      </c>
      <c r="H291" s="132"/>
      <c r="I291" s="69">
        <f>VLOOKUP($F$317,Tabisr,1)</f>
        <v>2422.81</v>
      </c>
      <c r="J291" s="70">
        <f t="shared" si="220"/>
        <v>1655.0900000000001</v>
      </c>
      <c r="K291" s="71">
        <f>VLOOKUP($F$317,Tabisr,4)</f>
        <v>0.10879999999999999</v>
      </c>
      <c r="L291" s="69">
        <f>(F291-3651.01)*16%</f>
        <v>68.302399999999977</v>
      </c>
      <c r="M291" s="69">
        <v>293.25</v>
      </c>
      <c r="N291" s="69">
        <f>L291+M291</f>
        <v>361.55239999999998</v>
      </c>
      <c r="O291" s="69"/>
      <c r="P291" s="246"/>
      <c r="Q291" s="247">
        <v>1511</v>
      </c>
      <c r="R291" s="69"/>
      <c r="S291" s="69"/>
      <c r="T291" s="70">
        <f t="shared" si="221"/>
        <v>2605.3476000000001</v>
      </c>
      <c r="U291" s="70">
        <f t="shared" si="222"/>
        <v>2205.3476000000001</v>
      </c>
    </row>
    <row r="292" spans="1:21" s="72" customFormat="1" x14ac:dyDescent="0.25">
      <c r="A292" s="40">
        <v>157</v>
      </c>
      <c r="B292" s="67" t="s">
        <v>45</v>
      </c>
      <c r="C292" s="67" t="s">
        <v>79</v>
      </c>
      <c r="D292" s="12">
        <v>15</v>
      </c>
      <c r="E292" s="69">
        <v>253.77</v>
      </c>
      <c r="F292" s="69">
        <f>D292*E292</f>
        <v>3806.55</v>
      </c>
      <c r="G292" s="69">
        <v>400</v>
      </c>
      <c r="H292" s="132"/>
      <c r="I292" s="69">
        <f>VLOOKUP($F$292,Tabisr,1)</f>
        <v>2422.81</v>
      </c>
      <c r="J292" s="70">
        <f t="shared" si="220"/>
        <v>1383.7400000000002</v>
      </c>
      <c r="K292" s="71">
        <f>VLOOKUP($F$292,Tabisr,4)</f>
        <v>0.10879999999999999</v>
      </c>
      <c r="L292" s="69">
        <f t="shared" si="232"/>
        <v>188.119552</v>
      </c>
      <c r="M292" s="69">
        <v>121.95</v>
      </c>
      <c r="N292" s="69">
        <f>M292+L292</f>
        <v>310.06955199999999</v>
      </c>
      <c r="O292" s="69"/>
      <c r="P292" s="246"/>
      <c r="Q292" s="247">
        <v>710</v>
      </c>
      <c r="R292" s="69"/>
      <c r="S292" s="69"/>
      <c r="T292" s="70">
        <f t="shared" si="221"/>
        <v>3186.4804480000003</v>
      </c>
      <c r="U292" s="70">
        <f>T292-G292</f>
        <v>2786.4804480000003</v>
      </c>
    </row>
    <row r="293" spans="1:21" s="72" customFormat="1" x14ac:dyDescent="0.25">
      <c r="A293" s="40">
        <v>294</v>
      </c>
      <c r="B293" s="67" t="s">
        <v>468</v>
      </c>
      <c r="C293" s="78" t="s">
        <v>79</v>
      </c>
      <c r="D293" s="12">
        <v>15</v>
      </c>
      <c r="E293" s="171">
        <v>253.77</v>
      </c>
      <c r="F293" s="69">
        <f t="shared" ref="F293" si="235">D293*E293</f>
        <v>3806.55</v>
      </c>
      <c r="G293" s="52">
        <v>400</v>
      </c>
      <c r="H293" s="52"/>
      <c r="I293" s="69">
        <v>5083</v>
      </c>
      <c r="J293" s="147">
        <f t="shared" si="220"/>
        <v>-1276.4499999999998</v>
      </c>
      <c r="K293" s="148">
        <v>2.2136</v>
      </c>
      <c r="L293" s="69">
        <f t="shared" ref="L293" si="236">(F293-5081.01)*21.36%</f>
        <v>-272.22465599999998</v>
      </c>
      <c r="M293" s="69">
        <v>540.20000000000005</v>
      </c>
      <c r="N293" s="69">
        <v>337.68</v>
      </c>
      <c r="O293" s="69"/>
      <c r="P293" s="246"/>
      <c r="Q293" s="246"/>
      <c r="R293" s="52"/>
      <c r="S293" s="52"/>
      <c r="T293" s="147">
        <f t="shared" si="221"/>
        <v>3868.8700000000003</v>
      </c>
      <c r="U293" s="147">
        <f t="shared" ref="U293" si="237">T293-G293</f>
        <v>3468.8700000000003</v>
      </c>
    </row>
    <row r="294" spans="1:21" s="72" customFormat="1" x14ac:dyDescent="0.25">
      <c r="A294" s="40">
        <v>158</v>
      </c>
      <c r="B294" s="67" t="s">
        <v>46</v>
      </c>
      <c r="C294" s="67" t="s">
        <v>79</v>
      </c>
      <c r="D294" s="12">
        <v>15</v>
      </c>
      <c r="E294" s="69">
        <v>253.77</v>
      </c>
      <c r="F294" s="69">
        <f>D294*E294</f>
        <v>3806.55</v>
      </c>
      <c r="G294" s="69">
        <v>400</v>
      </c>
      <c r="H294" s="132"/>
      <c r="I294" s="69">
        <f>VLOOKUP($F$294,Tabisr,1)</f>
        <v>2422.81</v>
      </c>
      <c r="J294" s="70">
        <f t="shared" si="220"/>
        <v>1383.7400000000002</v>
      </c>
      <c r="K294" s="71">
        <f>VLOOKUP($F$294,Tabisr,4)</f>
        <v>0.10879999999999999</v>
      </c>
      <c r="L294" s="69">
        <f t="shared" si="232"/>
        <v>188.119552</v>
      </c>
      <c r="M294" s="69">
        <v>121.95</v>
      </c>
      <c r="N294" s="69">
        <f>M294+L294</f>
        <v>310.06955199999999</v>
      </c>
      <c r="O294" s="69"/>
      <c r="P294" s="69"/>
      <c r="Q294" s="69"/>
      <c r="R294" s="69"/>
      <c r="S294" s="69"/>
      <c r="T294" s="70">
        <f t="shared" si="221"/>
        <v>3896.4804480000003</v>
      </c>
      <c r="U294" s="70">
        <f>T294-G294</f>
        <v>3496.4804480000003</v>
      </c>
    </row>
    <row r="295" spans="1:21" s="72" customFormat="1" x14ac:dyDescent="0.25">
      <c r="A295" s="36"/>
      <c r="B295" s="80"/>
      <c r="C295" s="81"/>
      <c r="D295" s="82"/>
      <c r="E295" s="82"/>
      <c r="F295" s="83">
        <f>+SUM(F252:F294)</f>
        <v>172599.29999999987</v>
      </c>
      <c r="G295" s="83">
        <f>+SUM(G252:G294)</f>
        <v>15200</v>
      </c>
      <c r="H295" s="83">
        <f>+SUM(H252:H294)</f>
        <v>12258.9725</v>
      </c>
      <c r="I295" s="83" t="e">
        <f t="shared" ref="I295:S295" si="238">+SUM(I252:I294)</f>
        <v>#N/A</v>
      </c>
      <c r="J295" s="83" t="e">
        <f t="shared" si="238"/>
        <v>#N/A</v>
      </c>
      <c r="K295" s="83" t="e">
        <f t="shared" si="238"/>
        <v>#N/A</v>
      </c>
      <c r="L295" s="83" t="e">
        <f t="shared" si="238"/>
        <v>#N/A</v>
      </c>
      <c r="M295" s="83" t="e">
        <f t="shared" si="238"/>
        <v>#N/A</v>
      </c>
      <c r="N295" s="83">
        <f>+SUM(N252:N294)</f>
        <v>16310.734112000009</v>
      </c>
      <c r="O295" s="83">
        <f t="shared" si="238"/>
        <v>0</v>
      </c>
      <c r="P295" s="83">
        <f t="shared" si="238"/>
        <v>2450</v>
      </c>
      <c r="Q295" s="83">
        <f t="shared" si="238"/>
        <v>4926</v>
      </c>
      <c r="R295" s="83">
        <f t="shared" si="238"/>
        <v>0</v>
      </c>
      <c r="S295" s="83">
        <f t="shared" si="238"/>
        <v>0</v>
      </c>
      <c r="T295" s="83">
        <f>+SUM(T252:T294)</f>
        <v>176371.53838799996</v>
      </c>
      <c r="U295" s="83">
        <f>+SUM(U252:U294)</f>
        <v>161171.53838799999</v>
      </c>
    </row>
    <row r="296" spans="1:21" s="72" customFormat="1" ht="21" customHeight="1" x14ac:dyDescent="0.25">
      <c r="A296" s="36"/>
      <c r="B296" s="80"/>
      <c r="C296" s="81"/>
      <c r="D296" s="82"/>
      <c r="E296" s="82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</row>
    <row r="297" spans="1:21" s="72" customFormat="1" x14ac:dyDescent="0.25">
      <c r="A297" s="36"/>
      <c r="B297" s="80"/>
      <c r="C297" s="81"/>
      <c r="D297" s="82"/>
      <c r="E297" s="82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</row>
    <row r="298" spans="1:21" ht="12" customHeight="1" x14ac:dyDescent="0.25">
      <c r="A298" s="195" t="s">
        <v>212</v>
      </c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7"/>
    </row>
    <row r="299" spans="1:21" s="72" customFormat="1" ht="24" x14ac:dyDescent="0.25">
      <c r="A299" s="32" t="s">
        <v>57</v>
      </c>
      <c r="B299" s="32" t="s">
        <v>13</v>
      </c>
      <c r="C299" s="32" t="s">
        <v>68</v>
      </c>
      <c r="D299" s="32" t="s">
        <v>21</v>
      </c>
      <c r="E299" s="32" t="s">
        <v>15</v>
      </c>
      <c r="F299" s="32" t="s">
        <v>14</v>
      </c>
      <c r="G299" s="32" t="s">
        <v>54</v>
      </c>
      <c r="H299" s="32" t="s">
        <v>60</v>
      </c>
      <c r="I299" s="49" t="s">
        <v>160</v>
      </c>
      <c r="J299" s="49" t="s">
        <v>161</v>
      </c>
      <c r="K299" s="49" t="s">
        <v>162</v>
      </c>
      <c r="L299" s="49" t="s">
        <v>163</v>
      </c>
      <c r="M299" s="32" t="s">
        <v>164</v>
      </c>
      <c r="N299" s="32" t="s">
        <v>55</v>
      </c>
      <c r="O299" s="32" t="s">
        <v>56</v>
      </c>
      <c r="P299" s="32" t="s">
        <v>16</v>
      </c>
      <c r="Q299" s="32" t="s">
        <v>242</v>
      </c>
      <c r="R299" s="32" t="s">
        <v>59</v>
      </c>
      <c r="S299" s="32" t="s">
        <v>66</v>
      </c>
      <c r="T299" s="32" t="s">
        <v>64</v>
      </c>
      <c r="U299" s="32" t="s">
        <v>65</v>
      </c>
    </row>
    <row r="300" spans="1:21" s="72" customFormat="1" x14ac:dyDescent="0.25">
      <c r="A300" s="33">
        <v>159</v>
      </c>
      <c r="B300" s="67" t="s">
        <v>119</v>
      </c>
      <c r="C300" s="68" t="s">
        <v>115</v>
      </c>
      <c r="D300" s="12">
        <v>15</v>
      </c>
      <c r="E300" s="69">
        <v>312.26</v>
      </c>
      <c r="F300" s="69">
        <f>D300*E300</f>
        <v>4683.8999999999996</v>
      </c>
      <c r="G300" s="69">
        <v>400</v>
      </c>
      <c r="H300" s="69"/>
      <c r="I300" s="69">
        <f>VLOOKUP($F$71,Tabisr,1)</f>
        <v>5925.91</v>
      </c>
      <c r="J300" s="70">
        <f>+F300-I300</f>
        <v>-1242.0100000000002</v>
      </c>
      <c r="K300" s="71">
        <f>VLOOKUP($F$71,Tabisr,4)</f>
        <v>0.21360000000000001</v>
      </c>
      <c r="L300" s="69">
        <f>(F300-4244.01)*17.92%</f>
        <v>78.828287999999901</v>
      </c>
      <c r="M300" s="69">
        <v>388.05</v>
      </c>
      <c r="N300" s="69">
        <f>L300+M300</f>
        <v>466.87828799999988</v>
      </c>
      <c r="O300" s="69">
        <f>VLOOKUP($F$71,Tabsub,3)</f>
        <v>0</v>
      </c>
      <c r="P300" s="69"/>
      <c r="Q300" s="246"/>
      <c r="R300" s="246">
        <v>1540.2</v>
      </c>
      <c r="S300" s="69"/>
      <c r="T300" s="70">
        <f>F300+G300+H300-N300+O300-P300-Q300-R300-S300</f>
        <v>3076.8217119999999</v>
      </c>
      <c r="U300" s="70">
        <f>T300-G300</f>
        <v>2676.8217119999999</v>
      </c>
    </row>
    <row r="301" spans="1:21" s="72" customFormat="1" x14ac:dyDescent="0.25">
      <c r="A301" s="33">
        <v>289</v>
      </c>
      <c r="B301" s="67" t="s">
        <v>393</v>
      </c>
      <c r="C301" s="68" t="s">
        <v>433</v>
      </c>
      <c r="D301" s="12">
        <v>15</v>
      </c>
      <c r="E301" s="69">
        <v>312.26</v>
      </c>
      <c r="F301" s="69">
        <f>D301*E301</f>
        <v>4683.8999999999996</v>
      </c>
      <c r="G301" s="69">
        <v>400</v>
      </c>
      <c r="H301" s="69"/>
      <c r="I301" s="69">
        <f>VLOOKUP($F$71,Tabisr,1)</f>
        <v>5925.91</v>
      </c>
      <c r="J301" s="70">
        <f>+F301-I301</f>
        <v>-1242.0100000000002</v>
      </c>
      <c r="K301" s="71">
        <f>VLOOKUP($F$71,Tabisr,4)</f>
        <v>0.21360000000000001</v>
      </c>
      <c r="L301" s="69">
        <f>(F301-4244.01)*17.92%</f>
        <v>78.828287999999901</v>
      </c>
      <c r="M301" s="69">
        <v>388.05</v>
      </c>
      <c r="N301" s="69">
        <f>L301+M301</f>
        <v>466.87828799999988</v>
      </c>
      <c r="O301" s="69">
        <f>VLOOKUP($F$71,Tabsub,3)</f>
        <v>0</v>
      </c>
      <c r="P301" s="69"/>
      <c r="Q301" s="247">
        <v>580</v>
      </c>
      <c r="R301" s="246"/>
      <c r="S301" s="69"/>
      <c r="T301" s="70">
        <f>F301+G301+H301-N301+O301-P301-Q301-R301-S301</f>
        <v>4037.0217119999998</v>
      </c>
      <c r="U301" s="70">
        <f>T301-G301</f>
        <v>3637.0217119999998</v>
      </c>
    </row>
    <row r="302" spans="1:21" s="72" customFormat="1" x14ac:dyDescent="0.25">
      <c r="A302" s="43"/>
      <c r="B302" s="97"/>
      <c r="C302" s="101"/>
      <c r="D302" s="39"/>
      <c r="E302" s="39"/>
      <c r="F302" s="102">
        <f>SUM(F300:F301)</f>
        <v>9367.7999999999993</v>
      </c>
      <c r="G302" s="102">
        <f>SUM(G300:G301)</f>
        <v>800</v>
      </c>
      <c r="H302" s="102">
        <f t="shared" ref="H302:M302" si="239">+H300</f>
        <v>0</v>
      </c>
      <c r="I302" s="102">
        <f t="shared" si="239"/>
        <v>5925.91</v>
      </c>
      <c r="J302" s="102">
        <f t="shared" si="239"/>
        <v>-1242.0100000000002</v>
      </c>
      <c r="K302" s="102">
        <f t="shared" si="239"/>
        <v>0.21360000000000001</v>
      </c>
      <c r="L302" s="102">
        <f t="shared" si="239"/>
        <v>78.828287999999901</v>
      </c>
      <c r="M302" s="102">
        <f t="shared" si="239"/>
        <v>388.05</v>
      </c>
      <c r="N302" s="102">
        <f t="shared" ref="N302:U302" si="240">SUM(N300:N301)</f>
        <v>933.75657599999977</v>
      </c>
      <c r="O302" s="102">
        <f t="shared" si="240"/>
        <v>0</v>
      </c>
      <c r="P302" s="102">
        <f t="shared" si="240"/>
        <v>0</v>
      </c>
      <c r="Q302" s="102">
        <f t="shared" si="240"/>
        <v>580</v>
      </c>
      <c r="R302" s="102">
        <f t="shared" si="240"/>
        <v>1540.2</v>
      </c>
      <c r="S302" s="102">
        <f t="shared" si="240"/>
        <v>0</v>
      </c>
      <c r="T302" s="102">
        <f t="shared" si="240"/>
        <v>7113.8434239999997</v>
      </c>
      <c r="U302" s="102">
        <f t="shared" si="240"/>
        <v>6313.8434239999997</v>
      </c>
    </row>
    <row r="303" spans="1:21" s="72" customFormat="1" x14ac:dyDescent="0.25">
      <c r="A303" s="43"/>
      <c r="B303" s="97"/>
      <c r="C303" s="101"/>
      <c r="D303" s="39"/>
      <c r="E303" s="39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</row>
    <row r="304" spans="1:21" x14ac:dyDescent="0.25">
      <c r="A304" s="43"/>
      <c r="B304" s="97"/>
      <c r="C304" s="101"/>
      <c r="D304" s="39"/>
      <c r="E304" s="39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</row>
    <row r="305" spans="1:21" x14ac:dyDescent="0.25">
      <c r="A305" s="192" t="s">
        <v>136</v>
      </c>
      <c r="B305" s="193"/>
      <c r="C305" s="193"/>
      <c r="D305" s="193"/>
      <c r="E305" s="193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4"/>
    </row>
    <row r="306" spans="1:21" ht="24" x14ac:dyDescent="0.25">
      <c r="A306" s="32" t="s">
        <v>57</v>
      </c>
      <c r="B306" s="32" t="s">
        <v>13</v>
      </c>
      <c r="C306" s="32" t="s">
        <v>68</v>
      </c>
      <c r="D306" s="32" t="s">
        <v>21</v>
      </c>
      <c r="E306" s="32" t="s">
        <v>15</v>
      </c>
      <c r="F306" s="32" t="s">
        <v>14</v>
      </c>
      <c r="G306" s="32" t="s">
        <v>54</v>
      </c>
      <c r="H306" s="32" t="s">
        <v>60</v>
      </c>
      <c r="I306" s="49" t="s">
        <v>160</v>
      </c>
      <c r="J306" s="49" t="s">
        <v>161</v>
      </c>
      <c r="K306" s="49" t="s">
        <v>162</v>
      </c>
      <c r="L306" s="49" t="s">
        <v>163</v>
      </c>
      <c r="M306" s="32" t="s">
        <v>164</v>
      </c>
      <c r="N306" s="32" t="s">
        <v>55</v>
      </c>
      <c r="O306" s="32" t="s">
        <v>56</v>
      </c>
      <c r="P306" s="32" t="s">
        <v>16</v>
      </c>
      <c r="Q306" s="32" t="s">
        <v>242</v>
      </c>
      <c r="R306" s="32" t="s">
        <v>59</v>
      </c>
      <c r="S306" s="32" t="s">
        <v>66</v>
      </c>
      <c r="T306" s="32" t="s">
        <v>64</v>
      </c>
      <c r="U306" s="32" t="s">
        <v>65</v>
      </c>
    </row>
    <row r="307" spans="1:21" x14ac:dyDescent="0.25">
      <c r="A307" s="34">
        <v>160</v>
      </c>
      <c r="B307" s="79" t="s">
        <v>261</v>
      </c>
      <c r="C307" s="79" t="s">
        <v>136</v>
      </c>
      <c r="D307" s="250">
        <v>15</v>
      </c>
      <c r="E307" s="85">
        <v>661.33</v>
      </c>
      <c r="F307" s="85">
        <f>D307*E307</f>
        <v>9919.9500000000007</v>
      </c>
      <c r="G307" s="85"/>
      <c r="H307" s="85"/>
      <c r="I307" s="85">
        <f>VLOOKUP($F$230,Tabisr,1)</f>
        <v>5925.91</v>
      </c>
      <c r="J307" s="86">
        <f>+F307-I307</f>
        <v>3994.0400000000009</v>
      </c>
      <c r="K307" s="87">
        <f>VLOOKUP($F$230,Tabisr,4)</f>
        <v>0.21360000000000001</v>
      </c>
      <c r="L307" s="85">
        <f>(F307-5081.01)*21.36%</f>
        <v>1033.5975840000001</v>
      </c>
      <c r="M307" s="85">
        <v>538.20000000000005</v>
      </c>
      <c r="N307" s="85">
        <f>L307+M307</f>
        <v>1571.7975840000001</v>
      </c>
      <c r="O307" s="85">
        <f>VLOOKUP($F$230,Tabsub,3)</f>
        <v>0</v>
      </c>
      <c r="P307" s="85"/>
      <c r="Q307" s="256">
        <v>1300</v>
      </c>
      <c r="R307" s="85"/>
      <c r="S307" s="85"/>
      <c r="T307" s="86">
        <f>F307+G307+H307-N307+O307-P307-Q307-R307-S307</f>
        <v>7048.1524160000008</v>
      </c>
      <c r="U307" s="86">
        <f>T307-G307</f>
        <v>7048.1524160000008</v>
      </c>
    </row>
    <row r="308" spans="1:21" ht="24" x14ac:dyDescent="0.25">
      <c r="A308" s="33">
        <v>161</v>
      </c>
      <c r="B308" s="67" t="s">
        <v>236</v>
      </c>
      <c r="C308" s="67" t="s">
        <v>237</v>
      </c>
      <c r="D308" s="12">
        <v>15</v>
      </c>
      <c r="E308" s="69">
        <v>337.04</v>
      </c>
      <c r="F308" s="69">
        <f>D308*E308</f>
        <v>5055.6000000000004</v>
      </c>
      <c r="G308" s="69">
        <v>400</v>
      </c>
      <c r="H308" s="69"/>
      <c r="I308" s="69">
        <f>VLOOKUP($F$230,Tabisr,1)</f>
        <v>5925.91</v>
      </c>
      <c r="J308" s="70">
        <f>+F308-I308</f>
        <v>-870.30999999999949</v>
      </c>
      <c r="K308" s="71">
        <f>VLOOKUP($F$230,Tabisr,4)</f>
        <v>0.21360000000000001</v>
      </c>
      <c r="L308" s="69">
        <f>(F308-4244.01)*17.92%</f>
        <v>145.43692800000005</v>
      </c>
      <c r="M308" s="69">
        <v>388.05</v>
      </c>
      <c r="N308" s="69">
        <f>L308+M308</f>
        <v>533.48692800000003</v>
      </c>
      <c r="O308" s="69">
        <f>VLOOKUP($F$71,Tabsub,3)</f>
        <v>0</v>
      </c>
      <c r="P308" s="69"/>
      <c r="Q308" s="69"/>
      <c r="R308" s="69"/>
      <c r="S308" s="69"/>
      <c r="T308" s="70">
        <f>F308+G308+H308-N308+O308-P308-Q308-R308-S308</f>
        <v>4922.1130720000001</v>
      </c>
      <c r="U308" s="70">
        <f>T308-G308</f>
        <v>4522.1130720000001</v>
      </c>
    </row>
    <row r="309" spans="1:21" x14ac:dyDescent="0.25">
      <c r="A309" s="39"/>
      <c r="B309" s="63"/>
      <c r="C309" s="63"/>
      <c r="D309" s="13"/>
      <c r="E309" s="64"/>
      <c r="F309" s="65">
        <f>+SUM(F307:F308)</f>
        <v>14975.550000000001</v>
      </c>
      <c r="G309" s="65">
        <f>+SUM(G307:G308)</f>
        <v>400</v>
      </c>
      <c r="H309" s="65">
        <f t="shared" ref="H309:S309" si="241">+SUM(H307:H308)</f>
        <v>0</v>
      </c>
      <c r="I309" s="65">
        <f t="shared" si="241"/>
        <v>11851.82</v>
      </c>
      <c r="J309" s="65">
        <f t="shared" si="241"/>
        <v>3123.7300000000014</v>
      </c>
      <c r="K309" s="65">
        <f t="shared" si="241"/>
        <v>0.42720000000000002</v>
      </c>
      <c r="L309" s="65">
        <f t="shared" si="241"/>
        <v>1179.0345120000002</v>
      </c>
      <c r="M309" s="65">
        <f t="shared" si="241"/>
        <v>926.25</v>
      </c>
      <c r="N309" s="65">
        <f>+SUM(N307:N308)</f>
        <v>2105.2845120000002</v>
      </c>
      <c r="O309" s="65">
        <f t="shared" si="241"/>
        <v>0</v>
      </c>
      <c r="P309" s="65">
        <f t="shared" si="241"/>
        <v>0</v>
      </c>
      <c r="Q309" s="65">
        <f>+SUM(Q307:Q308)</f>
        <v>1300</v>
      </c>
      <c r="R309" s="65">
        <f t="shared" si="241"/>
        <v>0</v>
      </c>
      <c r="S309" s="65">
        <f t="shared" si="241"/>
        <v>0</v>
      </c>
      <c r="T309" s="65">
        <f>+SUM(T307:T308)</f>
        <v>11970.265488000001</v>
      </c>
      <c r="U309" s="65">
        <f>+SUM(U307:U308)</f>
        <v>11570.265488000001</v>
      </c>
    </row>
    <row r="310" spans="1:21" x14ac:dyDescent="0.25">
      <c r="A310" s="39"/>
      <c r="B310" s="63"/>
      <c r="C310" s="63"/>
      <c r="D310" s="13"/>
      <c r="E310" s="64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</row>
    <row r="311" spans="1:21" x14ac:dyDescent="0.25">
      <c r="A311" s="192" t="s">
        <v>213</v>
      </c>
      <c r="B311" s="193"/>
      <c r="C311" s="193"/>
      <c r="D311" s="193"/>
      <c r="E311" s="193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4"/>
    </row>
    <row r="312" spans="1:21" ht="24" x14ac:dyDescent="0.25">
      <c r="A312" s="32" t="s">
        <v>57</v>
      </c>
      <c r="B312" s="32" t="s">
        <v>13</v>
      </c>
      <c r="C312" s="32" t="s">
        <v>68</v>
      </c>
      <c r="D312" s="32" t="s">
        <v>21</v>
      </c>
      <c r="E312" s="32" t="s">
        <v>15</v>
      </c>
      <c r="F312" s="32" t="s">
        <v>14</v>
      </c>
      <c r="G312" s="32" t="s">
        <v>54</v>
      </c>
      <c r="H312" s="32" t="s">
        <v>60</v>
      </c>
      <c r="I312" s="49" t="s">
        <v>160</v>
      </c>
      <c r="J312" s="49" t="s">
        <v>161</v>
      </c>
      <c r="K312" s="49" t="s">
        <v>162</v>
      </c>
      <c r="L312" s="49" t="s">
        <v>163</v>
      </c>
      <c r="M312" s="32" t="s">
        <v>164</v>
      </c>
      <c r="N312" s="32" t="s">
        <v>55</v>
      </c>
      <c r="O312" s="32" t="s">
        <v>56</v>
      </c>
      <c r="P312" s="32" t="s">
        <v>16</v>
      </c>
      <c r="Q312" s="32" t="s">
        <v>242</v>
      </c>
      <c r="R312" s="32" t="s">
        <v>59</v>
      </c>
      <c r="S312" s="32" t="s">
        <v>66</v>
      </c>
      <c r="T312" s="32" t="s">
        <v>64</v>
      </c>
      <c r="U312" s="32" t="s">
        <v>65</v>
      </c>
    </row>
    <row r="313" spans="1:21" s="72" customFormat="1" x14ac:dyDescent="0.25">
      <c r="A313" s="33">
        <v>162</v>
      </c>
      <c r="B313" s="67" t="s">
        <v>19</v>
      </c>
      <c r="C313" s="67" t="s">
        <v>480</v>
      </c>
      <c r="D313" s="12">
        <v>15</v>
      </c>
      <c r="E313" s="69">
        <v>661.33</v>
      </c>
      <c r="F313" s="69">
        <f t="shared" ref="F313:F319" si="242">D313*E313</f>
        <v>9919.9500000000007</v>
      </c>
      <c r="G313" s="69"/>
      <c r="H313" s="69"/>
      <c r="I313" s="69">
        <f>VLOOKUP($F$230,Tabisr,1)</f>
        <v>5925.91</v>
      </c>
      <c r="J313" s="70">
        <f t="shared" ref="J313:J319" si="243">+F313-I313</f>
        <v>3994.0400000000009</v>
      </c>
      <c r="K313" s="71">
        <f>VLOOKUP($F$230,Tabisr,4)</f>
        <v>0.21360000000000001</v>
      </c>
      <c r="L313" s="69">
        <f>(F313-5081.01)*21.36%</f>
        <v>1033.5975840000001</v>
      </c>
      <c r="M313" s="69">
        <v>538.20000000000005</v>
      </c>
      <c r="N313" s="69">
        <f t="shared" ref="N313:N319" si="244">L313+M313</f>
        <v>1571.7975840000001</v>
      </c>
      <c r="O313" s="69">
        <f>VLOOKUP($F$230,Tabsub,3)</f>
        <v>0</v>
      </c>
      <c r="P313" s="69"/>
      <c r="Q313" s="247">
        <v>1339</v>
      </c>
      <c r="R313" s="69"/>
      <c r="S313" s="69"/>
      <c r="T313" s="70">
        <f t="shared" ref="T313:T319" si="245">F313+G313+H313-N313+O313-P313-Q313-R313-S313</f>
        <v>7009.1524160000008</v>
      </c>
      <c r="U313" s="70">
        <f>T313-G313</f>
        <v>7009.1524160000008</v>
      </c>
    </row>
    <row r="314" spans="1:21" s="72" customFormat="1" x14ac:dyDescent="0.25">
      <c r="A314" s="33">
        <v>278</v>
      </c>
      <c r="B314" s="67" t="s">
        <v>413</v>
      </c>
      <c r="C314" s="67" t="s">
        <v>412</v>
      </c>
      <c r="D314" s="33">
        <v>15</v>
      </c>
      <c r="E314" s="69">
        <v>414.83</v>
      </c>
      <c r="F314" s="69">
        <f t="shared" si="242"/>
        <v>6222.45</v>
      </c>
      <c r="G314" s="69">
        <v>400</v>
      </c>
      <c r="H314" s="153"/>
      <c r="I314" s="69">
        <f>VLOOKUP($F$71,Tabisr,1)</f>
        <v>5925.91</v>
      </c>
      <c r="J314" s="147">
        <f>+F314-I314</f>
        <v>296.53999999999996</v>
      </c>
      <c r="K314" s="148">
        <f>VLOOKUP($F$71,Tabisr,4)</f>
        <v>0.21360000000000001</v>
      </c>
      <c r="L314" s="69">
        <f>(F314-4244.01)*17.92%</f>
        <v>354.53644800000001</v>
      </c>
      <c r="M314" s="69">
        <v>389.05</v>
      </c>
      <c r="N314" s="69">
        <v>690.94</v>
      </c>
      <c r="O314" s="69">
        <f>VLOOKUP($F$71,Tabsub,3)</f>
        <v>0</v>
      </c>
      <c r="P314" s="69"/>
      <c r="Q314" s="246"/>
      <c r="R314" s="69"/>
      <c r="S314" s="69"/>
      <c r="T314" s="147">
        <f t="shared" si="245"/>
        <v>5931.51</v>
      </c>
      <c r="U314" s="147">
        <f t="shared" ref="U314" si="246">T314-G314</f>
        <v>5531.51</v>
      </c>
    </row>
    <row r="315" spans="1:21" s="72" customFormat="1" x14ac:dyDescent="0.25">
      <c r="A315" s="33">
        <v>163</v>
      </c>
      <c r="B315" s="78" t="s">
        <v>404</v>
      </c>
      <c r="C315" s="78" t="s">
        <v>82</v>
      </c>
      <c r="D315" s="12">
        <v>15</v>
      </c>
      <c r="E315" s="85">
        <v>271.86</v>
      </c>
      <c r="F315" s="85">
        <f t="shared" ref="F315" si="247">D315*E315</f>
        <v>4077.9</v>
      </c>
      <c r="G315" s="69">
        <v>400</v>
      </c>
      <c r="H315" s="85"/>
      <c r="I315" s="85">
        <f>VLOOKUP($F$316,Tabisr,1)</f>
        <v>2422.81</v>
      </c>
      <c r="J315" s="86">
        <f t="shared" ref="J315" si="248">+F315-I315</f>
        <v>1655.0900000000001</v>
      </c>
      <c r="K315" s="87">
        <f>VLOOKUP($F$316,Tabisr,4)</f>
        <v>0.10879999999999999</v>
      </c>
      <c r="L315" s="85">
        <f>(F315-3651.01)*16%</f>
        <v>68.302399999999977</v>
      </c>
      <c r="M315" s="69">
        <v>293.25</v>
      </c>
      <c r="N315" s="85">
        <f t="shared" ref="N315" si="249">L315+M315</f>
        <v>361.55239999999998</v>
      </c>
      <c r="O315" s="85">
        <f>VLOOKUP($F$316,Tabsub,3)</f>
        <v>0</v>
      </c>
      <c r="P315" s="85"/>
      <c r="Q315" s="253"/>
      <c r="R315" s="85"/>
      <c r="S315" s="85"/>
      <c r="T315" s="70">
        <f t="shared" ref="T315" si="250">F315+G315+H315-N315+O315-P315-Q315-R315-S315</f>
        <v>4116.3476000000001</v>
      </c>
      <c r="U315" s="70">
        <f>T315-G315</f>
        <v>3716.3476000000001</v>
      </c>
    </row>
    <row r="316" spans="1:21" x14ac:dyDescent="0.25">
      <c r="A316" s="33">
        <v>164</v>
      </c>
      <c r="B316" s="79" t="s">
        <v>26</v>
      </c>
      <c r="C316" s="84" t="s">
        <v>82</v>
      </c>
      <c r="D316" s="12">
        <v>15</v>
      </c>
      <c r="E316" s="85">
        <v>271.86</v>
      </c>
      <c r="F316" s="85">
        <f t="shared" si="242"/>
        <v>4077.9</v>
      </c>
      <c r="G316" s="69">
        <v>400</v>
      </c>
      <c r="H316" s="85">
        <f>E316/8*20</f>
        <v>679.65000000000009</v>
      </c>
      <c r="I316" s="85">
        <f>VLOOKUP($F$316,Tabisr,1)</f>
        <v>2422.81</v>
      </c>
      <c r="J316" s="86">
        <f t="shared" si="243"/>
        <v>1655.0900000000001</v>
      </c>
      <c r="K316" s="87">
        <f>VLOOKUP($F$316,Tabisr,4)</f>
        <v>0.10879999999999999</v>
      </c>
      <c r="L316" s="85">
        <f>(F316-3651.01)*16%</f>
        <v>68.302399999999977</v>
      </c>
      <c r="M316" s="69">
        <v>293.25</v>
      </c>
      <c r="N316" s="85">
        <f t="shared" si="244"/>
        <v>361.55239999999998</v>
      </c>
      <c r="O316" s="85">
        <f>VLOOKUP($F$316,Tabsub,3)</f>
        <v>0</v>
      </c>
      <c r="P316" s="85"/>
      <c r="Q316" s="256">
        <v>885</v>
      </c>
      <c r="R316" s="85"/>
      <c r="S316" s="85"/>
      <c r="T316" s="70">
        <f t="shared" si="245"/>
        <v>3910.9975999999997</v>
      </c>
      <c r="U316" s="70">
        <f>T316-G316</f>
        <v>3510.9975999999997</v>
      </c>
    </row>
    <row r="317" spans="1:21" x14ac:dyDescent="0.25">
      <c r="A317" s="33">
        <v>165</v>
      </c>
      <c r="B317" s="67" t="s">
        <v>174</v>
      </c>
      <c r="C317" s="84" t="s">
        <v>82</v>
      </c>
      <c r="D317" s="12">
        <v>15</v>
      </c>
      <c r="E317" s="85">
        <v>271.86</v>
      </c>
      <c r="F317" s="85">
        <f t="shared" si="242"/>
        <v>4077.9</v>
      </c>
      <c r="G317" s="69">
        <v>400</v>
      </c>
      <c r="H317" s="85"/>
      <c r="I317" s="85">
        <f>VLOOKUP($F$316,Tabisr,1)</f>
        <v>2422.81</v>
      </c>
      <c r="J317" s="86">
        <f t="shared" si="243"/>
        <v>1655.0900000000001</v>
      </c>
      <c r="K317" s="87">
        <f>VLOOKUP($F$316,Tabisr,4)</f>
        <v>0.10879999999999999</v>
      </c>
      <c r="L317" s="85">
        <f>(F317-3651.01)*16%</f>
        <v>68.302399999999977</v>
      </c>
      <c r="M317" s="69">
        <v>293.25</v>
      </c>
      <c r="N317" s="85">
        <f t="shared" si="244"/>
        <v>361.55239999999998</v>
      </c>
      <c r="O317" s="85">
        <f>VLOOKUP($F$316,Tabsub,3)</f>
        <v>0</v>
      </c>
      <c r="P317" s="85"/>
      <c r="Q317" s="253"/>
      <c r="R317" s="85"/>
      <c r="S317" s="85"/>
      <c r="T317" s="70">
        <f t="shared" si="245"/>
        <v>4116.3476000000001</v>
      </c>
      <c r="U317" s="70">
        <f>T317-G317</f>
        <v>3716.3476000000001</v>
      </c>
    </row>
    <row r="318" spans="1:21" x14ac:dyDescent="0.25">
      <c r="A318" s="33">
        <v>166</v>
      </c>
      <c r="B318" s="67" t="s">
        <v>171</v>
      </c>
      <c r="C318" s="68" t="s">
        <v>82</v>
      </c>
      <c r="D318" s="12">
        <v>15</v>
      </c>
      <c r="E318" s="69">
        <v>271.86</v>
      </c>
      <c r="F318" s="69">
        <f t="shared" si="242"/>
        <v>4077.9</v>
      </c>
      <c r="G318" s="69">
        <v>400</v>
      </c>
      <c r="H318" s="69"/>
      <c r="I318" s="69">
        <f>VLOOKUP($F$316,Tabisr,1)</f>
        <v>2422.81</v>
      </c>
      <c r="J318" s="70">
        <f t="shared" si="243"/>
        <v>1655.0900000000001</v>
      </c>
      <c r="K318" s="71">
        <f>VLOOKUP($F$316,Tabisr,4)</f>
        <v>0.10879999999999999</v>
      </c>
      <c r="L318" s="69">
        <f>(F318-3651.01)*16%</f>
        <v>68.302399999999977</v>
      </c>
      <c r="M318" s="69">
        <v>293.25</v>
      </c>
      <c r="N318" s="69">
        <f t="shared" si="244"/>
        <v>361.55239999999998</v>
      </c>
      <c r="O318" s="69">
        <f>VLOOKUP($F$316,Tabsub,3)</f>
        <v>0</v>
      </c>
      <c r="P318" s="69"/>
      <c r="Q318" s="246"/>
      <c r="R318" s="69"/>
      <c r="S318" s="69"/>
      <c r="T318" s="70">
        <f t="shared" si="245"/>
        <v>4116.3476000000001</v>
      </c>
      <c r="U318" s="70">
        <f>T318-G318</f>
        <v>3716.3476000000001</v>
      </c>
    </row>
    <row r="319" spans="1:21" x14ac:dyDescent="0.25">
      <c r="A319" s="41">
        <v>167</v>
      </c>
      <c r="B319" s="78" t="s">
        <v>401</v>
      </c>
      <c r="C319" s="146" t="s">
        <v>82</v>
      </c>
      <c r="D319" s="12">
        <v>5</v>
      </c>
      <c r="E319" s="69">
        <v>271.86</v>
      </c>
      <c r="F319" s="69">
        <f t="shared" si="242"/>
        <v>1359.3000000000002</v>
      </c>
      <c r="G319" s="69">
        <v>400</v>
      </c>
      <c r="H319" s="69"/>
      <c r="I319" s="69">
        <f>VLOOKUP($F$307,Tabisr,1)</f>
        <v>5925.91</v>
      </c>
      <c r="J319" s="147">
        <f t="shared" si="243"/>
        <v>-4566.6099999999997</v>
      </c>
      <c r="K319" s="148">
        <f>VLOOKUP($F$307,Tabisr,4)</f>
        <v>0.21360000000000001</v>
      </c>
      <c r="L319" s="69">
        <f>(F319-3651.01)*16%</f>
        <v>-366.67360000000002</v>
      </c>
      <c r="M319" s="69">
        <v>293.25</v>
      </c>
      <c r="N319" s="69">
        <f t="shared" si="244"/>
        <v>-73.423600000000022</v>
      </c>
      <c r="O319" s="69">
        <f>VLOOKUP($F$307,Tabsub,3)</f>
        <v>0</v>
      </c>
      <c r="P319" s="69"/>
      <c r="Q319" s="246"/>
      <c r="R319" s="69"/>
      <c r="S319" s="69"/>
      <c r="T319" s="147">
        <f t="shared" si="245"/>
        <v>1832.7236000000003</v>
      </c>
      <c r="U319" s="147">
        <f t="shared" ref="U319" si="251">T319-G319</f>
        <v>1432.7236000000003</v>
      </c>
    </row>
    <row r="320" spans="1:21" x14ac:dyDescent="0.25">
      <c r="A320" s="39"/>
      <c r="B320" s="63"/>
      <c r="C320" s="73"/>
      <c r="D320" s="13"/>
      <c r="E320" s="64"/>
      <c r="F320" s="74">
        <f>+SUM(F313:F319)</f>
        <v>33813.30000000001</v>
      </c>
      <c r="G320" s="74">
        <f>+SUM(G313:G319)</f>
        <v>2400</v>
      </c>
      <c r="H320" s="74">
        <f t="shared" ref="H320:R320" si="252">+SUM(H313:H319)</f>
        <v>679.65000000000009</v>
      </c>
      <c r="I320" s="74">
        <f t="shared" si="252"/>
        <v>27468.97</v>
      </c>
      <c r="J320" s="74">
        <f t="shared" si="252"/>
        <v>6344.3300000000027</v>
      </c>
      <c r="K320" s="74">
        <f t="shared" si="252"/>
        <v>1.0760000000000001</v>
      </c>
      <c r="L320" s="74">
        <f t="shared" si="252"/>
        <v>1294.6700320000002</v>
      </c>
      <c r="M320" s="74">
        <f t="shared" si="252"/>
        <v>2393.5</v>
      </c>
      <c r="N320" s="74">
        <f>+SUM(N313:N319)</f>
        <v>3635.5235840000005</v>
      </c>
      <c r="O320" s="74">
        <f t="shared" si="252"/>
        <v>0</v>
      </c>
      <c r="P320" s="74">
        <f>+SUM(P313:P319)</f>
        <v>0</v>
      </c>
      <c r="Q320" s="74">
        <f>+SUM(Q313:Q319)</f>
        <v>2224</v>
      </c>
      <c r="R320" s="74">
        <f t="shared" si="252"/>
        <v>0</v>
      </c>
      <c r="S320" s="74">
        <f>+SUM(S313:S319)</f>
        <v>0</v>
      </c>
      <c r="T320" s="74">
        <f>+SUM(T313:T319)</f>
        <v>31033.426416000002</v>
      </c>
      <c r="U320" s="74">
        <f>+SUM(U313:U319)</f>
        <v>28633.426416000002</v>
      </c>
    </row>
    <row r="321" spans="1:21" x14ac:dyDescent="0.25">
      <c r="A321" s="39"/>
      <c r="B321" s="63"/>
      <c r="C321" s="73"/>
      <c r="D321" s="13"/>
      <c r="E321" s="6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</row>
    <row r="322" spans="1:21" x14ac:dyDescent="0.25">
      <c r="A322" s="39"/>
      <c r="B322" s="63"/>
      <c r="C322" s="73"/>
      <c r="D322" s="13"/>
      <c r="E322" s="6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65"/>
      <c r="U322" s="65"/>
    </row>
    <row r="323" spans="1:21" s="72" customFormat="1" x14ac:dyDescent="0.25">
      <c r="A323" s="192" t="s">
        <v>194</v>
      </c>
      <c r="B323" s="193"/>
      <c r="C323" s="193"/>
      <c r="D323" s="193"/>
      <c r="E323" s="193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4"/>
    </row>
    <row r="324" spans="1:21" s="75" customFormat="1" ht="24" x14ac:dyDescent="0.25">
      <c r="A324" s="32" t="s">
        <v>57</v>
      </c>
      <c r="B324" s="32" t="s">
        <v>13</v>
      </c>
      <c r="C324" s="32" t="s">
        <v>68</v>
      </c>
      <c r="D324" s="32" t="s">
        <v>21</v>
      </c>
      <c r="E324" s="32" t="s">
        <v>15</v>
      </c>
      <c r="F324" s="32" t="s">
        <v>14</v>
      </c>
      <c r="G324" s="32" t="s">
        <v>54</v>
      </c>
      <c r="H324" s="32" t="s">
        <v>60</v>
      </c>
      <c r="I324" s="49" t="s">
        <v>160</v>
      </c>
      <c r="J324" s="49" t="s">
        <v>161</v>
      </c>
      <c r="K324" s="49" t="s">
        <v>162</v>
      </c>
      <c r="L324" s="49" t="s">
        <v>163</v>
      </c>
      <c r="M324" s="32" t="s">
        <v>164</v>
      </c>
      <c r="N324" s="32" t="s">
        <v>55</v>
      </c>
      <c r="O324" s="32" t="s">
        <v>56</v>
      </c>
      <c r="P324" s="32" t="s">
        <v>16</v>
      </c>
      <c r="Q324" s="32" t="s">
        <v>242</v>
      </c>
      <c r="R324" s="32" t="s">
        <v>59</v>
      </c>
      <c r="S324" s="32" t="s">
        <v>66</v>
      </c>
      <c r="T324" s="32" t="s">
        <v>64</v>
      </c>
      <c r="U324" s="32" t="s">
        <v>65</v>
      </c>
    </row>
    <row r="325" spans="1:21" s="75" customFormat="1" x14ac:dyDescent="0.25">
      <c r="A325" s="33">
        <v>168</v>
      </c>
      <c r="B325" s="67" t="s">
        <v>334</v>
      </c>
      <c r="C325" s="67" t="s">
        <v>190</v>
      </c>
      <c r="D325" s="33">
        <v>15</v>
      </c>
      <c r="E325" s="69">
        <v>414.83</v>
      </c>
      <c r="F325" s="69">
        <f t="shared" ref="F325" si="253">D325*E325</f>
        <v>6222.45</v>
      </c>
      <c r="G325" s="69">
        <v>400</v>
      </c>
      <c r="H325" s="153"/>
      <c r="I325" s="69">
        <f>VLOOKUP($F$71,Tabisr,1)</f>
        <v>5925.91</v>
      </c>
      <c r="J325" s="147">
        <f>+F325-I325</f>
        <v>296.53999999999996</v>
      </c>
      <c r="K325" s="148">
        <f>VLOOKUP($F$71,Tabisr,4)</f>
        <v>0.21360000000000001</v>
      </c>
      <c r="L325" s="69">
        <f>(F325-4244.01)*17.92%</f>
        <v>354.53644800000001</v>
      </c>
      <c r="M325" s="69">
        <v>389.05</v>
      </c>
      <c r="N325" s="69">
        <v>690.94</v>
      </c>
      <c r="O325" s="69">
        <f>VLOOKUP($F$71,Tabsub,3)</f>
        <v>0</v>
      </c>
      <c r="P325" s="69"/>
      <c r="Q325" s="246"/>
      <c r="R325" s="69"/>
      <c r="S325" s="69"/>
      <c r="T325" s="147">
        <f t="shared" ref="T325" si="254">F325+G325+H325-N325+O325-P325-Q325-R325-S325</f>
        <v>5931.51</v>
      </c>
      <c r="U325" s="147">
        <f t="shared" ref="U325" si="255">T325-G325</f>
        <v>5531.51</v>
      </c>
    </row>
    <row r="326" spans="1:21" s="75" customFormat="1" x14ac:dyDescent="0.25">
      <c r="A326" s="37">
        <v>169</v>
      </c>
      <c r="B326" s="50" t="s">
        <v>222</v>
      </c>
      <c r="C326" s="51" t="s">
        <v>70</v>
      </c>
      <c r="D326" s="12">
        <v>15</v>
      </c>
      <c r="E326" s="52">
        <v>263.56</v>
      </c>
      <c r="F326" s="52">
        <f>D326*E326</f>
        <v>3953.4</v>
      </c>
      <c r="G326" s="52">
        <v>400</v>
      </c>
      <c r="H326" s="52"/>
      <c r="I326" s="52">
        <f>VLOOKUP($F$48,Tabisr,1)</f>
        <v>2422.81</v>
      </c>
      <c r="J326" s="53">
        <f t="shared" ref="J326:J345" si="256">+F326-I326</f>
        <v>1530.5900000000001</v>
      </c>
      <c r="K326" s="54">
        <f>VLOOKUP($F$48,Tabisr,4)</f>
        <v>0.10879999999999999</v>
      </c>
      <c r="L326" s="52">
        <f>(F326-3651.01)*16%</f>
        <v>48.382399999999983</v>
      </c>
      <c r="M326" s="52">
        <v>293.25</v>
      </c>
      <c r="N326" s="52">
        <f>M326+L326</f>
        <v>341.63239999999996</v>
      </c>
      <c r="O326" s="52">
        <f>VLOOKUP($F$48,Tabsub,3)</f>
        <v>0</v>
      </c>
      <c r="P326" s="52"/>
      <c r="Q326" s="246"/>
      <c r="R326" s="52"/>
      <c r="S326" s="52"/>
      <c r="T326" s="53">
        <f t="shared" ref="T326:T344" si="257">F326+G326+H326-N326+O326-P326-Q326-R326-S326</f>
        <v>4011.7675999999997</v>
      </c>
      <c r="U326" s="53">
        <f>T326-G326</f>
        <v>3611.7675999999997</v>
      </c>
    </row>
    <row r="327" spans="1:21" s="72" customFormat="1" x14ac:dyDescent="0.25">
      <c r="A327" s="37">
        <v>170</v>
      </c>
      <c r="B327" s="50" t="s">
        <v>6</v>
      </c>
      <c r="C327" s="51" t="s">
        <v>73</v>
      </c>
      <c r="D327" s="12">
        <v>15</v>
      </c>
      <c r="E327" s="52">
        <v>218.17</v>
      </c>
      <c r="F327" s="52">
        <f>D327*E327</f>
        <v>3272.5499999999997</v>
      </c>
      <c r="G327" s="52">
        <v>400</v>
      </c>
      <c r="H327" s="52"/>
      <c r="I327" s="52">
        <f>VLOOKUP($F$327,Tabisr,1)</f>
        <v>2422.81</v>
      </c>
      <c r="J327" s="53">
        <f t="shared" si="256"/>
        <v>849.73999999999978</v>
      </c>
      <c r="K327" s="54">
        <f>VLOOKUP($F$327,Tabisr,4)</f>
        <v>0.10879999999999999</v>
      </c>
      <c r="L327" s="52">
        <f>(F327-2077.51)*10.88%</f>
        <v>130.02035199999995</v>
      </c>
      <c r="M327" s="52">
        <v>121.95</v>
      </c>
      <c r="N327" s="52">
        <f>L327+M327</f>
        <v>251.97035199999993</v>
      </c>
      <c r="O327" s="52">
        <v>125.1</v>
      </c>
      <c r="P327" s="52"/>
      <c r="Q327" s="247">
        <v>690</v>
      </c>
      <c r="R327" s="52"/>
      <c r="S327" s="52"/>
      <c r="T327" s="53">
        <f t="shared" si="257"/>
        <v>2855.6796479999998</v>
      </c>
      <c r="U327" s="53">
        <f>T327-G327</f>
        <v>2455.6796479999998</v>
      </c>
    </row>
    <row r="328" spans="1:21" s="72" customFormat="1" x14ac:dyDescent="0.25">
      <c r="A328" s="37">
        <v>284</v>
      </c>
      <c r="B328" s="67" t="s">
        <v>318</v>
      </c>
      <c r="C328" s="51" t="s">
        <v>77</v>
      </c>
      <c r="D328" s="12">
        <v>15</v>
      </c>
      <c r="E328" s="69">
        <v>263.56</v>
      </c>
      <c r="F328" s="133">
        <f>D328*E328</f>
        <v>3953.4</v>
      </c>
      <c r="G328" s="52">
        <v>400</v>
      </c>
      <c r="H328" s="52"/>
      <c r="I328" s="69">
        <f>VLOOKUP($F$27,Tabisr,1)</f>
        <v>2422.81</v>
      </c>
      <c r="J328" s="70">
        <f>+F328-I328</f>
        <v>1530.5900000000001</v>
      </c>
      <c r="K328" s="71">
        <f>VLOOKUP($F$27,Tabisr,4)</f>
        <v>0.10879999999999999</v>
      </c>
      <c r="L328" s="69">
        <f>(F328-3651.01)*16%</f>
        <v>48.382399999999983</v>
      </c>
      <c r="M328" s="69">
        <v>293.25</v>
      </c>
      <c r="N328" s="52">
        <v>341.63</v>
      </c>
      <c r="O328" s="69">
        <v>0</v>
      </c>
      <c r="P328" s="52"/>
      <c r="Q328" s="246"/>
      <c r="R328" s="52"/>
      <c r="S328" s="52"/>
      <c r="T328" s="70">
        <f>F328+G328+H328-N328+O328-P328-Q328-R328-S328</f>
        <v>4011.7699999999995</v>
      </c>
      <c r="U328" s="70">
        <f>T328-G328</f>
        <v>3611.7699999999995</v>
      </c>
    </row>
    <row r="329" spans="1:21" x14ac:dyDescent="0.25">
      <c r="A329" s="37">
        <v>171</v>
      </c>
      <c r="B329" s="50" t="s">
        <v>43</v>
      </c>
      <c r="C329" s="51" t="s">
        <v>95</v>
      </c>
      <c r="D329" s="12">
        <v>15</v>
      </c>
      <c r="E329" s="52">
        <v>271.86</v>
      </c>
      <c r="F329" s="52">
        <f t="shared" ref="F329" si="258">D329*E329</f>
        <v>4077.9</v>
      </c>
      <c r="G329" s="52">
        <v>400</v>
      </c>
      <c r="H329" s="52"/>
      <c r="I329" s="52">
        <f>VLOOKUP($F$327,Tabisr,1)</f>
        <v>2422.81</v>
      </c>
      <c r="J329" s="53">
        <f t="shared" si="256"/>
        <v>1655.0900000000001</v>
      </c>
      <c r="K329" s="54">
        <f>VLOOKUP($F$327,Tabisr,4)</f>
        <v>0.10879999999999999</v>
      </c>
      <c r="L329" s="52">
        <f>(F329-3651.01)*16%</f>
        <v>68.302399999999977</v>
      </c>
      <c r="M329" s="52">
        <v>293.25</v>
      </c>
      <c r="N329" s="52">
        <f t="shared" ref="N329" si="259">L329+M329</f>
        <v>361.55239999999998</v>
      </c>
      <c r="O329" s="52"/>
      <c r="P329" s="52"/>
      <c r="Q329" s="246"/>
      <c r="R329" s="52"/>
      <c r="S329" s="52"/>
      <c r="T329" s="53">
        <f t="shared" si="257"/>
        <v>4116.3476000000001</v>
      </c>
      <c r="U329" s="53">
        <f>T329-G329</f>
        <v>3716.3476000000001</v>
      </c>
    </row>
    <row r="330" spans="1:21" x14ac:dyDescent="0.25">
      <c r="A330" s="150">
        <v>172</v>
      </c>
      <c r="B330" s="124" t="s">
        <v>244</v>
      </c>
      <c r="C330" s="88" t="s">
        <v>95</v>
      </c>
      <c r="D330" s="26"/>
      <c r="E330" s="93"/>
      <c r="F330" s="93"/>
      <c r="G330" s="93"/>
      <c r="H330" s="93"/>
      <c r="I330" s="93"/>
      <c r="J330" s="125"/>
      <c r="K330" s="126"/>
      <c r="L330" s="93"/>
      <c r="M330" s="93"/>
      <c r="N330" s="93"/>
      <c r="O330" s="93"/>
      <c r="P330" s="93"/>
      <c r="Q330" s="254"/>
      <c r="R330" s="93"/>
      <c r="S330" s="93"/>
      <c r="T330" s="125"/>
      <c r="U330" s="125"/>
    </row>
    <row r="331" spans="1:21" x14ac:dyDescent="0.25">
      <c r="A331" s="34">
        <v>173</v>
      </c>
      <c r="B331" s="79" t="s">
        <v>269</v>
      </c>
      <c r="C331" s="84" t="s">
        <v>95</v>
      </c>
      <c r="D331" s="250">
        <v>15</v>
      </c>
      <c r="E331" s="85">
        <v>271.86</v>
      </c>
      <c r="F331" s="85">
        <f>D331*E331</f>
        <v>4077.9</v>
      </c>
      <c r="G331" s="85">
        <v>400</v>
      </c>
      <c r="H331" s="85">
        <f>E331*2</f>
        <v>543.72</v>
      </c>
      <c r="I331" s="85">
        <f>VLOOKUP($F$329,Tabisr,1)</f>
        <v>2422.81</v>
      </c>
      <c r="J331" s="86">
        <f t="shared" si="256"/>
        <v>1655.0900000000001</v>
      </c>
      <c r="K331" s="87">
        <f>VLOOKUP($F$329,Tabisr,4)</f>
        <v>0.10879999999999999</v>
      </c>
      <c r="L331" s="85">
        <f>(F331-3651.01)*16%</f>
        <v>68.302399999999977</v>
      </c>
      <c r="M331" s="85">
        <v>293.25</v>
      </c>
      <c r="N331" s="85">
        <f>L331+M331</f>
        <v>361.55239999999998</v>
      </c>
      <c r="O331" s="85"/>
      <c r="P331" s="85"/>
      <c r="Q331" s="256">
        <v>900</v>
      </c>
      <c r="R331" s="85"/>
      <c r="S331" s="85"/>
      <c r="T331" s="86">
        <f t="shared" si="257"/>
        <v>3760.0676000000003</v>
      </c>
      <c r="U331" s="86">
        <f>T331-G331</f>
        <v>3360.0676000000003</v>
      </c>
    </row>
    <row r="332" spans="1:21" x14ac:dyDescent="0.25">
      <c r="A332" s="35">
        <v>174</v>
      </c>
      <c r="B332" s="57" t="s">
        <v>244</v>
      </c>
      <c r="C332" s="57" t="s">
        <v>130</v>
      </c>
      <c r="D332" s="14"/>
      <c r="E332" s="59"/>
      <c r="F332" s="59"/>
      <c r="G332" s="59"/>
      <c r="H332" s="35"/>
      <c r="I332" s="59"/>
      <c r="J332" s="61"/>
      <c r="K332" s="62"/>
      <c r="L332" s="59"/>
      <c r="M332" s="59"/>
      <c r="N332" s="59"/>
      <c r="O332" s="59"/>
      <c r="P332" s="59"/>
      <c r="Q332" s="254"/>
      <c r="R332" s="59"/>
      <c r="S332" s="59"/>
      <c r="T332" s="61"/>
      <c r="U332" s="61"/>
    </row>
    <row r="333" spans="1:21" s="72" customFormat="1" x14ac:dyDescent="0.25">
      <c r="A333" s="33">
        <v>175</v>
      </c>
      <c r="B333" s="67" t="s">
        <v>231</v>
      </c>
      <c r="C333" s="67" t="s">
        <v>82</v>
      </c>
      <c r="D333" s="12">
        <v>15</v>
      </c>
      <c r="E333" s="69">
        <v>271.86</v>
      </c>
      <c r="F333" s="69">
        <f t="shared" ref="F333:F341" si="260">D333*E333</f>
        <v>4077.9</v>
      </c>
      <c r="G333" s="52">
        <v>400</v>
      </c>
      <c r="H333" s="52"/>
      <c r="I333" s="69">
        <v>5087</v>
      </c>
      <c r="J333" s="70">
        <f t="shared" si="256"/>
        <v>-1009.0999999999999</v>
      </c>
      <c r="K333" s="71">
        <v>6.2135999999999996</v>
      </c>
      <c r="L333" s="69">
        <f>(F333-5081.01)*21.36%</f>
        <v>-214.264296</v>
      </c>
      <c r="M333" s="69">
        <v>544.20000000000005</v>
      </c>
      <c r="N333" s="69">
        <f t="shared" ref="N333:N344" si="261">L333+M333</f>
        <v>329.93570400000004</v>
      </c>
      <c r="O333" s="69"/>
      <c r="P333" s="52"/>
      <c r="Q333" s="247">
        <v>1000</v>
      </c>
      <c r="R333" s="52"/>
      <c r="S333" s="52"/>
      <c r="T333" s="70">
        <f t="shared" si="257"/>
        <v>3147.9642959999992</v>
      </c>
      <c r="U333" s="70">
        <f t="shared" ref="U333:U345" si="262">T333-G333</f>
        <v>2747.9642959999992</v>
      </c>
    </row>
    <row r="334" spans="1:21" s="72" customFormat="1" x14ac:dyDescent="0.25">
      <c r="A334" s="33">
        <v>176</v>
      </c>
      <c r="B334" s="67" t="s">
        <v>42</v>
      </c>
      <c r="C334" s="67" t="s">
        <v>82</v>
      </c>
      <c r="D334" s="12">
        <v>15</v>
      </c>
      <c r="E334" s="69">
        <v>271.86</v>
      </c>
      <c r="F334" s="69">
        <f>D334*E334</f>
        <v>4077.9</v>
      </c>
      <c r="G334" s="69">
        <v>400</v>
      </c>
      <c r="H334" s="69"/>
      <c r="I334" s="69">
        <f>VLOOKUP($F$334,Tabisr,1)</f>
        <v>2422.81</v>
      </c>
      <c r="J334" s="70">
        <f t="shared" si="256"/>
        <v>1655.0900000000001</v>
      </c>
      <c r="K334" s="71">
        <f>VLOOKUP($F$334,Tabisr,4)</f>
        <v>0.10879999999999999</v>
      </c>
      <c r="L334" s="69">
        <f t="shared" ref="L334:L341" si="263">(F334-3651.01)*16%</f>
        <v>68.302399999999977</v>
      </c>
      <c r="M334" s="69">
        <v>293.25</v>
      </c>
      <c r="N334" s="69">
        <f>M334+L334</f>
        <v>361.55239999999998</v>
      </c>
      <c r="O334" s="69">
        <f>VLOOKUP($F$334,Tabsub,3)</f>
        <v>0</v>
      </c>
      <c r="P334" s="69"/>
      <c r="Q334" s="246"/>
      <c r="R334" s="69"/>
      <c r="S334" s="69"/>
      <c r="T334" s="70">
        <f t="shared" si="257"/>
        <v>4116.3476000000001</v>
      </c>
      <c r="U334" s="70">
        <f t="shared" si="262"/>
        <v>3716.3476000000001</v>
      </c>
    </row>
    <row r="335" spans="1:21" s="72" customFormat="1" x14ac:dyDescent="0.25">
      <c r="A335" s="33">
        <v>177</v>
      </c>
      <c r="B335" s="67" t="s">
        <v>305</v>
      </c>
      <c r="C335" s="67" t="s">
        <v>82</v>
      </c>
      <c r="D335" s="12">
        <v>15</v>
      </c>
      <c r="E335" s="69">
        <v>271.86</v>
      </c>
      <c r="F335" s="69">
        <f>D335*E335</f>
        <v>4077.9</v>
      </c>
      <c r="G335" s="69">
        <v>400</v>
      </c>
      <c r="H335" s="69"/>
      <c r="I335" s="69">
        <f>VLOOKUP($F$335,Tabisr,1)</f>
        <v>2422.81</v>
      </c>
      <c r="J335" s="70">
        <f t="shared" si="256"/>
        <v>1655.0900000000001</v>
      </c>
      <c r="K335" s="71">
        <f>VLOOKUP($F$335,Tabisr,4)</f>
        <v>0.10879999999999999</v>
      </c>
      <c r="L335" s="69">
        <f t="shared" si="263"/>
        <v>68.302399999999977</v>
      </c>
      <c r="M335" s="69">
        <v>293.25</v>
      </c>
      <c r="N335" s="69">
        <f>M335+L335</f>
        <v>361.55239999999998</v>
      </c>
      <c r="O335" s="69">
        <f>VLOOKUP($F$335,Tabsub,3)</f>
        <v>0</v>
      </c>
      <c r="P335" s="69"/>
      <c r="Q335" s="246"/>
      <c r="R335" s="69"/>
      <c r="S335" s="69"/>
      <c r="T335" s="70">
        <f t="shared" si="257"/>
        <v>4116.3476000000001</v>
      </c>
      <c r="U335" s="70">
        <f t="shared" si="262"/>
        <v>3716.3476000000001</v>
      </c>
    </row>
    <row r="336" spans="1:21" s="72" customFormat="1" x14ac:dyDescent="0.25">
      <c r="A336" s="33">
        <v>178</v>
      </c>
      <c r="B336" s="67" t="s">
        <v>27</v>
      </c>
      <c r="C336" s="68" t="s">
        <v>96</v>
      </c>
      <c r="D336" s="12">
        <v>15</v>
      </c>
      <c r="E336" s="69">
        <v>290.66000000000003</v>
      </c>
      <c r="F336" s="69">
        <f t="shared" si="260"/>
        <v>4359.9000000000005</v>
      </c>
      <c r="G336" s="69">
        <v>400</v>
      </c>
      <c r="H336" s="69">
        <v>800</v>
      </c>
      <c r="I336" s="69">
        <f>VLOOKUP($F$336,Tabisr,1)</f>
        <v>4257.91</v>
      </c>
      <c r="J336" s="70">
        <f t="shared" si="256"/>
        <v>101.99000000000069</v>
      </c>
      <c r="K336" s="71">
        <f>VLOOKUP($F$336,Tabisr,4)</f>
        <v>0.16</v>
      </c>
      <c r="L336" s="69">
        <f t="shared" si="263"/>
        <v>113.42240000000005</v>
      </c>
      <c r="M336" s="69">
        <v>293.25</v>
      </c>
      <c r="N336" s="69">
        <f t="shared" si="261"/>
        <v>406.67240000000004</v>
      </c>
      <c r="O336" s="69">
        <f>VLOOKUP($F$336,Tabsub,3)</f>
        <v>0</v>
      </c>
      <c r="P336" s="69"/>
      <c r="Q336" s="246"/>
      <c r="R336" s="69"/>
      <c r="S336" s="69"/>
      <c r="T336" s="70">
        <f t="shared" si="257"/>
        <v>5153.2276000000002</v>
      </c>
      <c r="U336" s="70">
        <f t="shared" si="262"/>
        <v>4753.2276000000002</v>
      </c>
    </row>
    <row r="337" spans="1:21" s="72" customFormat="1" x14ac:dyDescent="0.25">
      <c r="A337" s="33">
        <v>179</v>
      </c>
      <c r="B337" s="67" t="s">
        <v>28</v>
      </c>
      <c r="C337" s="68" t="s">
        <v>96</v>
      </c>
      <c r="D337" s="12">
        <v>15</v>
      </c>
      <c r="E337" s="69">
        <v>290.66000000000003</v>
      </c>
      <c r="F337" s="69">
        <f t="shared" si="260"/>
        <v>4359.9000000000005</v>
      </c>
      <c r="G337" s="69">
        <v>400</v>
      </c>
      <c r="H337" s="69"/>
      <c r="I337" s="69">
        <f>VLOOKUP($F$337,Tabisr,1)</f>
        <v>4257.91</v>
      </c>
      <c r="J337" s="70">
        <f t="shared" si="256"/>
        <v>101.99000000000069</v>
      </c>
      <c r="K337" s="71">
        <f>VLOOKUP($F$337,Tabisr,4)</f>
        <v>0.16</v>
      </c>
      <c r="L337" s="69">
        <f t="shared" si="263"/>
        <v>113.42240000000005</v>
      </c>
      <c r="M337" s="69">
        <v>293.25</v>
      </c>
      <c r="N337" s="69">
        <f t="shared" si="261"/>
        <v>406.67240000000004</v>
      </c>
      <c r="O337" s="69">
        <f>VLOOKUP($F$337,Tabsub,3)</f>
        <v>0</v>
      </c>
      <c r="P337" s="69"/>
      <c r="Q337" s="246"/>
      <c r="R337" s="69"/>
      <c r="S337" s="69"/>
      <c r="T337" s="70">
        <f t="shared" si="257"/>
        <v>4353.2276000000002</v>
      </c>
      <c r="U337" s="70">
        <f t="shared" si="262"/>
        <v>3953.2276000000002</v>
      </c>
    </row>
    <row r="338" spans="1:21" x14ac:dyDescent="0.25">
      <c r="A338" s="33">
        <v>180</v>
      </c>
      <c r="B338" s="67" t="s">
        <v>29</v>
      </c>
      <c r="C338" s="68" t="s">
        <v>96</v>
      </c>
      <c r="D338" s="12">
        <v>15</v>
      </c>
      <c r="E338" s="69">
        <v>290.66000000000003</v>
      </c>
      <c r="F338" s="69">
        <f t="shared" si="260"/>
        <v>4359.9000000000005</v>
      </c>
      <c r="G338" s="69">
        <v>400</v>
      </c>
      <c r="H338" s="69"/>
      <c r="I338" s="69">
        <f>VLOOKUP($F$338,Tabisr,1)</f>
        <v>4257.91</v>
      </c>
      <c r="J338" s="70">
        <f t="shared" si="256"/>
        <v>101.99000000000069</v>
      </c>
      <c r="K338" s="71">
        <f>VLOOKUP($F$338,Tabisr,4)</f>
        <v>0.16</v>
      </c>
      <c r="L338" s="69">
        <f t="shared" si="263"/>
        <v>113.42240000000005</v>
      </c>
      <c r="M338" s="69">
        <v>293.25</v>
      </c>
      <c r="N338" s="69">
        <f t="shared" si="261"/>
        <v>406.67240000000004</v>
      </c>
      <c r="O338" s="69">
        <f>VLOOKUP($F$338,Tabsub,3)</f>
        <v>0</v>
      </c>
      <c r="P338" s="69"/>
      <c r="Q338" s="246"/>
      <c r="R338" s="69"/>
      <c r="S338" s="69"/>
      <c r="T338" s="70">
        <f t="shared" si="257"/>
        <v>4353.2276000000002</v>
      </c>
      <c r="U338" s="70">
        <f t="shared" si="262"/>
        <v>3953.2276000000002</v>
      </c>
    </row>
    <row r="339" spans="1:21" x14ac:dyDescent="0.25">
      <c r="A339" s="33">
        <v>181</v>
      </c>
      <c r="B339" s="67" t="s">
        <v>9</v>
      </c>
      <c r="C339" s="68" t="s">
        <v>96</v>
      </c>
      <c r="D339" s="12">
        <v>15</v>
      </c>
      <c r="E339" s="69">
        <v>290.66000000000003</v>
      </c>
      <c r="F339" s="69">
        <f t="shared" si="260"/>
        <v>4359.9000000000005</v>
      </c>
      <c r="G339" s="69">
        <v>400</v>
      </c>
      <c r="H339" s="69"/>
      <c r="I339" s="69">
        <f>VLOOKUP($F$339,Tabisr,1)</f>
        <v>4257.91</v>
      </c>
      <c r="J339" s="70">
        <f t="shared" si="256"/>
        <v>101.99000000000069</v>
      </c>
      <c r="K339" s="71">
        <f>VLOOKUP($F$339,Tabisr,4)</f>
        <v>0.16</v>
      </c>
      <c r="L339" s="69">
        <f t="shared" si="263"/>
        <v>113.42240000000005</v>
      </c>
      <c r="M339" s="69">
        <v>293.25</v>
      </c>
      <c r="N339" s="69">
        <f t="shared" si="261"/>
        <v>406.67240000000004</v>
      </c>
      <c r="O339" s="69">
        <f>VLOOKUP($F$339,Tabsub,3)</f>
        <v>0</v>
      </c>
      <c r="P339" s="69"/>
      <c r="Q339" s="246"/>
      <c r="R339" s="69"/>
      <c r="S339" s="69"/>
      <c r="T339" s="70">
        <f t="shared" si="257"/>
        <v>4353.2276000000002</v>
      </c>
      <c r="U339" s="70">
        <f t="shared" si="262"/>
        <v>3953.2276000000002</v>
      </c>
    </row>
    <row r="340" spans="1:21" x14ac:dyDescent="0.25">
      <c r="A340" s="33">
        <v>182</v>
      </c>
      <c r="B340" s="67" t="s">
        <v>30</v>
      </c>
      <c r="C340" s="68" t="s">
        <v>96</v>
      </c>
      <c r="D340" s="12">
        <v>15</v>
      </c>
      <c r="E340" s="69">
        <v>290.66000000000003</v>
      </c>
      <c r="F340" s="69">
        <f t="shared" si="260"/>
        <v>4359.9000000000005</v>
      </c>
      <c r="G340" s="69">
        <v>400</v>
      </c>
      <c r="H340" s="69"/>
      <c r="I340" s="69">
        <f>VLOOKUP($F$340,Tabisr,1)</f>
        <v>4257.91</v>
      </c>
      <c r="J340" s="70">
        <f t="shared" si="256"/>
        <v>101.99000000000069</v>
      </c>
      <c r="K340" s="71">
        <f>VLOOKUP($F$340,Tabisr,4)</f>
        <v>0.16</v>
      </c>
      <c r="L340" s="69">
        <f t="shared" si="263"/>
        <v>113.42240000000005</v>
      </c>
      <c r="M340" s="69">
        <v>293.25</v>
      </c>
      <c r="N340" s="69">
        <f t="shared" si="261"/>
        <v>406.67240000000004</v>
      </c>
      <c r="O340" s="69">
        <f>VLOOKUP($F$340,Tabsub,3)</f>
        <v>0</v>
      </c>
      <c r="P340" s="69"/>
      <c r="Q340" s="246"/>
      <c r="R340" s="69"/>
      <c r="S340" s="69"/>
      <c r="T340" s="70">
        <f t="shared" si="257"/>
        <v>4353.2276000000002</v>
      </c>
      <c r="U340" s="70">
        <f t="shared" si="262"/>
        <v>3953.2276000000002</v>
      </c>
    </row>
    <row r="341" spans="1:21" x14ac:dyDescent="0.25">
      <c r="A341" s="33">
        <v>183</v>
      </c>
      <c r="B341" s="67" t="s">
        <v>31</v>
      </c>
      <c r="C341" s="68" t="s">
        <v>96</v>
      </c>
      <c r="D341" s="12">
        <v>15</v>
      </c>
      <c r="E341" s="69">
        <v>290.66000000000003</v>
      </c>
      <c r="F341" s="69">
        <f t="shared" si="260"/>
        <v>4359.9000000000005</v>
      </c>
      <c r="G341" s="69">
        <v>400</v>
      </c>
      <c r="H341" s="69"/>
      <c r="I341" s="69">
        <f>VLOOKUP($F$341,Tabisr,1)</f>
        <v>4257.91</v>
      </c>
      <c r="J341" s="70">
        <f t="shared" si="256"/>
        <v>101.99000000000069</v>
      </c>
      <c r="K341" s="71">
        <f>VLOOKUP($F$341,Tabisr,4)</f>
        <v>0.16</v>
      </c>
      <c r="L341" s="69">
        <f t="shared" si="263"/>
        <v>113.42240000000005</v>
      </c>
      <c r="M341" s="69">
        <v>293.25</v>
      </c>
      <c r="N341" s="69">
        <f t="shared" si="261"/>
        <v>406.67240000000004</v>
      </c>
      <c r="O341" s="69">
        <f>VLOOKUP($F$341,Tabsub,3)</f>
        <v>0</v>
      </c>
      <c r="P341" s="69"/>
      <c r="Q341" s="246"/>
      <c r="R341" s="69"/>
      <c r="S341" s="69"/>
      <c r="T341" s="70">
        <f t="shared" si="257"/>
        <v>4353.2276000000002</v>
      </c>
      <c r="U341" s="70">
        <f t="shared" si="262"/>
        <v>3953.2276000000002</v>
      </c>
    </row>
    <row r="342" spans="1:21" x14ac:dyDescent="0.25">
      <c r="A342" s="33">
        <v>271</v>
      </c>
      <c r="B342" s="67" t="s">
        <v>383</v>
      </c>
      <c r="C342" s="68" t="s">
        <v>96</v>
      </c>
      <c r="D342" s="12">
        <v>15</v>
      </c>
      <c r="E342" s="69">
        <v>290.66000000000003</v>
      </c>
      <c r="F342" s="69">
        <f t="shared" ref="F342:F343" si="264">D342*E342</f>
        <v>4359.9000000000005</v>
      </c>
      <c r="G342" s="69">
        <v>400</v>
      </c>
      <c r="H342" s="69"/>
      <c r="I342" s="69">
        <f>VLOOKUP($F$341,Tabisr,1)</f>
        <v>4257.91</v>
      </c>
      <c r="J342" s="70">
        <f t="shared" ref="J342:J343" si="265">+F342-I342</f>
        <v>101.99000000000069</v>
      </c>
      <c r="K342" s="71">
        <f>VLOOKUP($F$341,Tabisr,4)</f>
        <v>0.16</v>
      </c>
      <c r="L342" s="69">
        <f t="shared" ref="L342:L343" si="266">(F342-3651.01)*16%</f>
        <v>113.42240000000005</v>
      </c>
      <c r="M342" s="69">
        <v>293.25</v>
      </c>
      <c r="N342" s="69">
        <f t="shared" ref="N342:N343" si="267">L342+M342</f>
        <v>406.67240000000004</v>
      </c>
      <c r="O342" s="69">
        <f>VLOOKUP($F$341,Tabsub,3)</f>
        <v>0</v>
      </c>
      <c r="P342" s="69"/>
      <c r="Q342" s="246"/>
      <c r="R342" s="69"/>
      <c r="S342" s="69"/>
      <c r="T342" s="70">
        <f t="shared" ref="T342:T343" si="268">F342+G342+H342-N342+O342-P342-Q342-R342-S342</f>
        <v>4353.2276000000002</v>
      </c>
      <c r="U342" s="70">
        <f t="shared" si="262"/>
        <v>3953.2276000000002</v>
      </c>
    </row>
    <row r="343" spans="1:21" x14ac:dyDescent="0.25">
      <c r="A343" s="33">
        <v>272</v>
      </c>
      <c r="B343" s="67" t="s">
        <v>384</v>
      </c>
      <c r="C343" s="68" t="s">
        <v>96</v>
      </c>
      <c r="D343" s="12">
        <v>15</v>
      </c>
      <c r="E343" s="69">
        <v>290.66000000000003</v>
      </c>
      <c r="F343" s="69">
        <f t="shared" si="264"/>
        <v>4359.9000000000005</v>
      </c>
      <c r="G343" s="69">
        <v>400</v>
      </c>
      <c r="H343" s="69">
        <v>800</v>
      </c>
      <c r="I343" s="69">
        <f>VLOOKUP($F$341,Tabisr,1)</f>
        <v>4257.91</v>
      </c>
      <c r="J343" s="70">
        <f t="shared" si="265"/>
        <v>101.99000000000069</v>
      </c>
      <c r="K343" s="71">
        <f>VLOOKUP($F$341,Tabisr,4)</f>
        <v>0.16</v>
      </c>
      <c r="L343" s="69">
        <f t="shared" si="266"/>
        <v>113.42240000000005</v>
      </c>
      <c r="M343" s="69">
        <v>293.25</v>
      </c>
      <c r="N343" s="69">
        <f t="shared" si="267"/>
        <v>406.67240000000004</v>
      </c>
      <c r="O343" s="69">
        <f>VLOOKUP($F$341,Tabsub,3)</f>
        <v>0</v>
      </c>
      <c r="P343" s="69"/>
      <c r="Q343" s="247">
        <v>730</v>
      </c>
      <c r="R343" s="69"/>
      <c r="S343" s="69"/>
      <c r="T343" s="70">
        <f t="shared" si="268"/>
        <v>4423.2276000000002</v>
      </c>
      <c r="U343" s="70">
        <f t="shared" si="262"/>
        <v>4023.2276000000002</v>
      </c>
    </row>
    <row r="344" spans="1:21" x14ac:dyDescent="0.25">
      <c r="A344" s="33">
        <v>184</v>
      </c>
      <c r="B344" s="67" t="s">
        <v>11</v>
      </c>
      <c r="C344" s="68" t="s">
        <v>71</v>
      </c>
      <c r="D344" s="12">
        <v>15</v>
      </c>
      <c r="E344" s="69">
        <v>390.42</v>
      </c>
      <c r="F344" s="69">
        <f>D344*E344</f>
        <v>5856.3</v>
      </c>
      <c r="G344" s="52">
        <v>400</v>
      </c>
      <c r="H344" s="52"/>
      <c r="I344" s="69">
        <v>5081.01</v>
      </c>
      <c r="J344" s="70">
        <f t="shared" si="256"/>
        <v>775.29</v>
      </c>
      <c r="K344" s="71">
        <v>0.21360000000000001</v>
      </c>
      <c r="L344" s="69">
        <f>(F344-5081.01)*21.36%</f>
        <v>165.60194399999997</v>
      </c>
      <c r="M344" s="69">
        <v>538.20000000000005</v>
      </c>
      <c r="N344" s="69">
        <f t="shared" si="261"/>
        <v>703.80194400000005</v>
      </c>
      <c r="O344" s="69"/>
      <c r="P344" s="52"/>
      <c r="Q344" s="246"/>
      <c r="R344" s="52"/>
      <c r="S344" s="52"/>
      <c r="T344" s="70">
        <f t="shared" si="257"/>
        <v>5552.4980560000004</v>
      </c>
      <c r="U344" s="70">
        <f t="shared" si="262"/>
        <v>5152.4980560000004</v>
      </c>
    </row>
    <row r="345" spans="1:21" x14ac:dyDescent="0.25">
      <c r="A345" s="33">
        <v>185</v>
      </c>
      <c r="B345" s="67" t="s">
        <v>3</v>
      </c>
      <c r="C345" s="68" t="s">
        <v>72</v>
      </c>
      <c r="D345" s="12">
        <v>15</v>
      </c>
      <c r="E345" s="69">
        <v>312.26</v>
      </c>
      <c r="F345" s="69">
        <f>D345*E345</f>
        <v>4683.8999999999996</v>
      </c>
      <c r="G345" s="69">
        <v>400</v>
      </c>
      <c r="H345" s="132">
        <f>E345/8*11</f>
        <v>429.35749999999996</v>
      </c>
      <c r="I345" s="69" t="e">
        <f>VLOOKUP($F$332,Tabisr,1)</f>
        <v>#N/A</v>
      </c>
      <c r="J345" s="70" t="e">
        <f t="shared" si="256"/>
        <v>#N/A</v>
      </c>
      <c r="K345" s="71" t="e">
        <f>VLOOKUP($F$332,Tabisr,4)</f>
        <v>#N/A</v>
      </c>
      <c r="L345" s="69">
        <f>(F345-4244.01)*17.92%</f>
        <v>78.828287999999901</v>
      </c>
      <c r="M345" s="69">
        <v>388.05</v>
      </c>
      <c r="N345" s="69">
        <f>L345+M345</f>
        <v>466.87828799999988</v>
      </c>
      <c r="O345" s="69"/>
      <c r="P345" s="52"/>
      <c r="Q345" s="52"/>
      <c r="R345" s="52"/>
      <c r="S345" s="246">
        <v>400</v>
      </c>
      <c r="T345" s="70">
        <f>F345+G345+H345-N345+O345-P345-Q345-R345-S345</f>
        <v>4646.3792119999998</v>
      </c>
      <c r="U345" s="70">
        <f t="shared" si="262"/>
        <v>4246.3792119999998</v>
      </c>
    </row>
    <row r="346" spans="1:21" x14ac:dyDescent="0.25">
      <c r="A346" s="39"/>
      <c r="B346" s="97"/>
      <c r="C346" s="101"/>
      <c r="D346" s="39"/>
      <c r="E346" s="39"/>
      <c r="F346" s="102">
        <f>+SUM(F325:F345)</f>
        <v>83210.7</v>
      </c>
      <c r="G346" s="102">
        <f>+SUM(G325:G345)</f>
        <v>7600</v>
      </c>
      <c r="H346" s="102">
        <f>SUM(H326:H345)</f>
        <v>2573.0775000000003</v>
      </c>
      <c r="I346" s="102" t="e">
        <f t="shared" ref="I346:U346" si="269">+SUM(I325:I345)</f>
        <v>#N/A</v>
      </c>
      <c r="J346" s="102" t="e">
        <f t="shared" si="269"/>
        <v>#N/A</v>
      </c>
      <c r="K346" s="102" t="e">
        <f t="shared" si="269"/>
        <v>#N/A</v>
      </c>
      <c r="L346" s="102">
        <f t="shared" si="269"/>
        <v>1792.0763360000005</v>
      </c>
      <c r="M346" s="102">
        <f t="shared" si="269"/>
        <v>6086.95</v>
      </c>
      <c r="N346" s="102">
        <f t="shared" si="269"/>
        <v>7826.3774880000019</v>
      </c>
      <c r="O346" s="102">
        <f t="shared" si="269"/>
        <v>125.1</v>
      </c>
      <c r="P346" s="102">
        <f t="shared" si="269"/>
        <v>0</v>
      </c>
      <c r="Q346" s="102">
        <f t="shared" si="269"/>
        <v>3320</v>
      </c>
      <c r="R346" s="102">
        <f t="shared" si="269"/>
        <v>0</v>
      </c>
      <c r="S346" s="102">
        <f t="shared" si="269"/>
        <v>400</v>
      </c>
      <c r="T346" s="102">
        <f t="shared" si="269"/>
        <v>81962.50001199999</v>
      </c>
      <c r="U346" s="102">
        <f t="shared" si="269"/>
        <v>74362.50001199999</v>
      </c>
    </row>
    <row r="347" spans="1:21" ht="56.45" customHeight="1" x14ac:dyDescent="0.25">
      <c r="A347" s="39"/>
      <c r="B347" s="97"/>
      <c r="C347" s="101"/>
      <c r="D347" s="39"/>
      <c r="E347" s="39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</row>
    <row r="348" spans="1:21" x14ac:dyDescent="0.25">
      <c r="A348" s="39"/>
      <c r="B348" s="97"/>
      <c r="C348" s="101"/>
      <c r="D348" s="39"/>
      <c r="E348" s="39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</row>
    <row r="349" spans="1:21" x14ac:dyDescent="0.25">
      <c r="A349" s="192" t="s">
        <v>214</v>
      </c>
      <c r="B349" s="193"/>
      <c r="C349" s="193"/>
      <c r="D349" s="193"/>
      <c r="E349" s="193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4"/>
    </row>
    <row r="350" spans="1:21" ht="24" x14ac:dyDescent="0.25">
      <c r="A350" s="32" t="s">
        <v>57</v>
      </c>
      <c r="B350" s="32" t="s">
        <v>13</v>
      </c>
      <c r="C350" s="32" t="s">
        <v>68</v>
      </c>
      <c r="D350" s="32" t="s">
        <v>21</v>
      </c>
      <c r="E350" s="32" t="s">
        <v>15</v>
      </c>
      <c r="F350" s="32" t="s">
        <v>14</v>
      </c>
      <c r="G350" s="32" t="s">
        <v>54</v>
      </c>
      <c r="H350" s="32" t="s">
        <v>60</v>
      </c>
      <c r="I350" s="49" t="s">
        <v>160</v>
      </c>
      <c r="J350" s="49" t="s">
        <v>161</v>
      </c>
      <c r="K350" s="49" t="s">
        <v>162</v>
      </c>
      <c r="L350" s="49" t="s">
        <v>163</v>
      </c>
      <c r="M350" s="32" t="s">
        <v>164</v>
      </c>
      <c r="N350" s="32" t="s">
        <v>55</v>
      </c>
      <c r="O350" s="32" t="s">
        <v>56</v>
      </c>
      <c r="P350" s="32" t="s">
        <v>16</v>
      </c>
      <c r="Q350" s="32" t="s">
        <v>242</v>
      </c>
      <c r="R350" s="32" t="s">
        <v>59</v>
      </c>
      <c r="S350" s="32" t="s">
        <v>66</v>
      </c>
      <c r="T350" s="32" t="s">
        <v>64</v>
      </c>
      <c r="U350" s="32" t="s">
        <v>65</v>
      </c>
    </row>
    <row r="351" spans="1:21" x14ac:dyDescent="0.25">
      <c r="A351" s="37">
        <v>186</v>
      </c>
      <c r="B351" s="67" t="s">
        <v>454</v>
      </c>
      <c r="C351" s="67" t="s">
        <v>128</v>
      </c>
      <c r="D351" s="12">
        <v>15</v>
      </c>
      <c r="E351" s="69">
        <v>312.26</v>
      </c>
      <c r="F351" s="69">
        <f>D351*E351</f>
        <v>4683.8999999999996</v>
      </c>
      <c r="G351" s="69">
        <v>400</v>
      </c>
      <c r="H351" s="69"/>
      <c r="I351" s="69">
        <f>VLOOKUP($F$71,Tabisr,1)</f>
        <v>5925.91</v>
      </c>
      <c r="J351" s="70">
        <f>+F351-I351</f>
        <v>-1242.0100000000002</v>
      </c>
      <c r="K351" s="71">
        <f>VLOOKUP($F$71,Tabisr,4)</f>
        <v>0.21360000000000001</v>
      </c>
      <c r="L351" s="69">
        <f>(F351-4244.01)*17.92%</f>
        <v>78.828287999999901</v>
      </c>
      <c r="M351" s="69">
        <v>388.05</v>
      </c>
      <c r="N351" s="69">
        <f>L351+M351</f>
        <v>466.87828799999988</v>
      </c>
      <c r="O351" s="69">
        <f>VLOOKUP($F$71,Tabsub,3)</f>
        <v>0</v>
      </c>
      <c r="P351" s="69"/>
      <c r="Q351" s="69"/>
      <c r="R351" s="69"/>
      <c r="S351" s="69"/>
      <c r="T351" s="70">
        <f>F351+G351+H351-N351+O351-P351-Q351-R351-S351</f>
        <v>4617.0217119999998</v>
      </c>
      <c r="U351" s="70">
        <f>T351-G351</f>
        <v>4217.0217119999998</v>
      </c>
    </row>
    <row r="352" spans="1:21" x14ac:dyDescent="0.25">
      <c r="A352" s="37">
        <v>291</v>
      </c>
      <c r="B352" s="67" t="s">
        <v>452</v>
      </c>
      <c r="C352" s="67" t="s">
        <v>70</v>
      </c>
      <c r="D352" s="11">
        <v>15</v>
      </c>
      <c r="E352" s="52">
        <v>263.56</v>
      </c>
      <c r="F352" s="52">
        <f>D352*E352</f>
        <v>3953.4</v>
      </c>
      <c r="G352" s="52">
        <v>400</v>
      </c>
      <c r="H352" s="52"/>
      <c r="I352" s="52">
        <f>VLOOKUP($F$48,Tabisr,1)</f>
        <v>2422.81</v>
      </c>
      <c r="J352" s="53">
        <f t="shared" ref="J352" si="270">+F352-I352</f>
        <v>1530.5900000000001</v>
      </c>
      <c r="K352" s="54">
        <f>VLOOKUP($F$48,Tabisr,4)</f>
        <v>0.10879999999999999</v>
      </c>
      <c r="L352" s="52">
        <f>(F352-3651.01)*16%</f>
        <v>48.382399999999983</v>
      </c>
      <c r="M352" s="52">
        <v>293.25</v>
      </c>
      <c r="N352" s="52">
        <f>M352+L352</f>
        <v>341.63239999999996</v>
      </c>
      <c r="O352" s="52">
        <f>VLOOKUP($F$48,Tabsub,3)</f>
        <v>0</v>
      </c>
      <c r="P352" s="52"/>
      <c r="Q352" s="52"/>
      <c r="R352" s="52"/>
      <c r="S352" s="52"/>
      <c r="T352" s="53">
        <f t="shared" ref="T352" si="271">F352+G352+H352-N352+O352-P352-Q352-R352-S352</f>
        <v>4011.7675999999997</v>
      </c>
      <c r="U352" s="53">
        <f>T352-G352</f>
        <v>3611.7675999999997</v>
      </c>
    </row>
    <row r="353" spans="1:21" x14ac:dyDescent="0.25">
      <c r="A353" s="35">
        <v>187</v>
      </c>
      <c r="B353" s="57" t="s">
        <v>453</v>
      </c>
      <c r="C353" s="58" t="s">
        <v>76</v>
      </c>
      <c r="D353" s="14"/>
      <c r="E353" s="14"/>
      <c r="F353" s="59"/>
      <c r="G353" s="59"/>
      <c r="H353" s="119"/>
      <c r="I353" s="59">
        <f t="shared" ref="I353:I357" si="272">VLOOKUP($F$363,Tabisr,1)</f>
        <v>4257.91</v>
      </c>
      <c r="J353" s="61">
        <f t="shared" ref="J353:J357" si="273">+F353-I353</f>
        <v>-4257.91</v>
      </c>
      <c r="K353" s="62">
        <f t="shared" ref="K353:K357" si="274">VLOOKUP($F$363,Tabisr,4)</f>
        <v>0.16</v>
      </c>
      <c r="L353" s="59">
        <f>(F353-3651.01)*16%</f>
        <v>-584.16160000000002</v>
      </c>
      <c r="M353" s="59">
        <v>293.25</v>
      </c>
      <c r="N353" s="59"/>
      <c r="O353" s="119"/>
      <c r="P353" s="119"/>
      <c r="Q353" s="257"/>
      <c r="R353" s="119"/>
      <c r="S353" s="119"/>
      <c r="T353" s="61">
        <f t="shared" ref="T353:T357" si="275">F353+G353+H353-N353+O353-P353-Q353-R353-S353</f>
        <v>0</v>
      </c>
      <c r="U353" s="61">
        <f>T353-G353</f>
        <v>0</v>
      </c>
    </row>
    <row r="354" spans="1:21" x14ac:dyDescent="0.25">
      <c r="A354" s="33">
        <v>188</v>
      </c>
      <c r="B354" s="67" t="s">
        <v>62</v>
      </c>
      <c r="C354" s="68" t="s">
        <v>90</v>
      </c>
      <c r="D354" s="12">
        <v>15</v>
      </c>
      <c r="E354" s="12">
        <v>214.1</v>
      </c>
      <c r="F354" s="69">
        <f>D354*E354</f>
        <v>3211.5</v>
      </c>
      <c r="G354" s="69">
        <v>400</v>
      </c>
      <c r="H354" s="33"/>
      <c r="I354" s="69">
        <f t="shared" si="272"/>
        <v>4257.91</v>
      </c>
      <c r="J354" s="70">
        <f t="shared" si="273"/>
        <v>-1046.4099999999999</v>
      </c>
      <c r="K354" s="71">
        <f t="shared" si="274"/>
        <v>0.16</v>
      </c>
      <c r="L354" s="69">
        <f>(F354-2077.51)*10.88%</f>
        <v>123.37811199999999</v>
      </c>
      <c r="M354" s="69">
        <v>121.95</v>
      </c>
      <c r="N354" s="69">
        <f>L354+M354</f>
        <v>245.32811199999998</v>
      </c>
      <c r="O354" s="33"/>
      <c r="P354" s="33"/>
      <c r="Q354" s="248">
        <v>1066</v>
      </c>
      <c r="R354" s="33"/>
      <c r="S354" s="33"/>
      <c r="T354" s="70">
        <f t="shared" si="275"/>
        <v>2300.1718879999999</v>
      </c>
      <c r="U354" s="70">
        <f>T354-G354</f>
        <v>1900.1718879999999</v>
      </c>
    </row>
    <row r="355" spans="1:21" s="66" customFormat="1" x14ac:dyDescent="0.25">
      <c r="A355" s="33">
        <v>189</v>
      </c>
      <c r="B355" s="67" t="s">
        <v>246</v>
      </c>
      <c r="C355" s="68" t="s">
        <v>90</v>
      </c>
      <c r="D355" s="12">
        <v>15</v>
      </c>
      <c r="E355" s="12">
        <v>263.56</v>
      </c>
      <c r="F355" s="69">
        <f>D355*E355</f>
        <v>3953.4</v>
      </c>
      <c r="G355" s="69">
        <v>400</v>
      </c>
      <c r="H355" s="33"/>
      <c r="I355" s="69">
        <f t="shared" si="272"/>
        <v>4257.91</v>
      </c>
      <c r="J355" s="70">
        <f t="shared" si="273"/>
        <v>-304.50999999999976</v>
      </c>
      <c r="K355" s="71">
        <f t="shared" si="274"/>
        <v>0.16</v>
      </c>
      <c r="L355" s="85">
        <f>(F355-2077.51)*10.88%</f>
        <v>204.09683200000001</v>
      </c>
      <c r="M355" s="69">
        <v>121.95</v>
      </c>
      <c r="N355" s="85">
        <f>L355+M355</f>
        <v>326.04683199999999</v>
      </c>
      <c r="O355" s="33"/>
      <c r="P355" s="33"/>
      <c r="Q355" s="248">
        <v>885</v>
      </c>
      <c r="R355" s="33"/>
      <c r="S355" s="33"/>
      <c r="T355" s="70">
        <f t="shared" si="275"/>
        <v>3142.3531679999996</v>
      </c>
      <c r="U355" s="86">
        <f>T355-G355</f>
        <v>2742.3531679999996</v>
      </c>
    </row>
    <row r="356" spans="1:21" x14ac:dyDescent="0.25">
      <c r="A356" s="35">
        <v>190</v>
      </c>
      <c r="B356" s="57" t="s">
        <v>244</v>
      </c>
      <c r="C356" s="58" t="s">
        <v>90</v>
      </c>
      <c r="D356" s="14"/>
      <c r="E356" s="14"/>
      <c r="F356" s="59"/>
      <c r="G356" s="59"/>
      <c r="H356" s="35"/>
      <c r="I356" s="59"/>
      <c r="J356" s="61"/>
      <c r="K356" s="62"/>
      <c r="L356" s="59"/>
      <c r="M356" s="59"/>
      <c r="N356" s="59"/>
      <c r="O356" s="35"/>
      <c r="P356" s="35"/>
      <c r="Q356" s="258"/>
      <c r="R356" s="35"/>
      <c r="S356" s="35"/>
      <c r="T356" s="61"/>
      <c r="U356" s="61"/>
    </row>
    <row r="357" spans="1:21" x14ac:dyDescent="0.2">
      <c r="A357" s="33">
        <v>191</v>
      </c>
      <c r="B357" s="115" t="s">
        <v>234</v>
      </c>
      <c r="C357" s="68" t="s">
        <v>323</v>
      </c>
      <c r="D357" s="12">
        <v>15</v>
      </c>
      <c r="E357" s="12">
        <v>414.83</v>
      </c>
      <c r="F357" s="69">
        <f>D357*E357</f>
        <v>6222.45</v>
      </c>
      <c r="G357" s="69">
        <v>400</v>
      </c>
      <c r="H357" s="33"/>
      <c r="I357" s="69">
        <f t="shared" si="272"/>
        <v>4257.91</v>
      </c>
      <c r="J357" s="70">
        <f t="shared" si="273"/>
        <v>1964.54</v>
      </c>
      <c r="K357" s="71">
        <f t="shared" si="274"/>
        <v>0.16</v>
      </c>
      <c r="L357" s="69">
        <f>(F357-2077.51)*10.88%</f>
        <v>450.969472</v>
      </c>
      <c r="M357" s="69">
        <v>121.95</v>
      </c>
      <c r="N357" s="69">
        <v>690.94</v>
      </c>
      <c r="O357" s="33"/>
      <c r="P357" s="33"/>
      <c r="Q357" s="248">
        <v>740</v>
      </c>
      <c r="R357" s="33"/>
      <c r="S357" s="33"/>
      <c r="T357" s="70">
        <f t="shared" si="275"/>
        <v>5191.51</v>
      </c>
      <c r="U357" s="70">
        <f>T357-G357</f>
        <v>4791.51</v>
      </c>
    </row>
    <row r="358" spans="1:21" x14ac:dyDescent="0.25">
      <c r="A358" s="39"/>
      <c r="B358" s="80"/>
      <c r="C358" s="81"/>
      <c r="D358" s="82"/>
      <c r="E358" s="82"/>
      <c r="F358" s="83">
        <f>+SUM(F351:F357)</f>
        <v>22024.649999999998</v>
      </c>
      <c r="G358" s="83">
        <f>+SUM(G351:G357)</f>
        <v>2000</v>
      </c>
      <c r="H358" s="83">
        <f>+SUM(H351:H357)</f>
        <v>0</v>
      </c>
      <c r="I358" s="83">
        <f t="shared" ref="I358:S358" si="276">+SUM(I351:I357)</f>
        <v>25380.36</v>
      </c>
      <c r="J358" s="83">
        <f t="shared" si="276"/>
        <v>-3355.71</v>
      </c>
      <c r="K358" s="83">
        <f t="shared" si="276"/>
        <v>0.96240000000000014</v>
      </c>
      <c r="L358" s="83">
        <f t="shared" si="276"/>
        <v>321.49350399999986</v>
      </c>
      <c r="M358" s="83">
        <f t="shared" si="276"/>
        <v>1340.4</v>
      </c>
      <c r="N358" s="83">
        <f>+SUM(N351:N357)</f>
        <v>2070.825632</v>
      </c>
      <c r="O358" s="83">
        <f t="shared" si="276"/>
        <v>0</v>
      </c>
      <c r="P358" s="83">
        <f>+SUM(P351:P357)</f>
        <v>0</v>
      </c>
      <c r="Q358" s="83">
        <f>+SUM(Q351:Q357)</f>
        <v>2691</v>
      </c>
      <c r="R358" s="83">
        <f t="shared" si="276"/>
        <v>0</v>
      </c>
      <c r="S358" s="83">
        <f t="shared" si="276"/>
        <v>0</v>
      </c>
      <c r="T358" s="83">
        <f>+SUM(T351:T357)</f>
        <v>19262.824367999998</v>
      </c>
      <c r="U358" s="83">
        <f>+SUM(U351:U357)</f>
        <v>17262.824367999998</v>
      </c>
    </row>
    <row r="359" spans="1:21" x14ac:dyDescent="0.25">
      <c r="A359" s="39"/>
      <c r="B359" s="80"/>
      <c r="C359" s="81"/>
      <c r="D359" s="82"/>
      <c r="E359" s="82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</row>
    <row r="360" spans="1:21" x14ac:dyDescent="0.25">
      <c r="A360" s="39"/>
      <c r="B360" s="80"/>
      <c r="C360" s="81"/>
      <c r="D360" s="82"/>
      <c r="E360" s="82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</row>
    <row r="361" spans="1:21" x14ac:dyDescent="0.25">
      <c r="A361" s="192" t="s">
        <v>215</v>
      </c>
      <c r="B361" s="193"/>
      <c r="C361" s="193"/>
      <c r="D361" s="193"/>
      <c r="E361" s="193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4"/>
    </row>
    <row r="362" spans="1:21" s="72" customFormat="1" ht="24" x14ac:dyDescent="0.25">
      <c r="A362" s="32" t="s">
        <v>57</v>
      </c>
      <c r="B362" s="32" t="s">
        <v>13</v>
      </c>
      <c r="C362" s="32" t="s">
        <v>68</v>
      </c>
      <c r="D362" s="32" t="s">
        <v>21</v>
      </c>
      <c r="E362" s="32" t="s">
        <v>15</v>
      </c>
      <c r="F362" s="32" t="s">
        <v>14</v>
      </c>
      <c r="G362" s="32" t="s">
        <v>54</v>
      </c>
      <c r="H362" s="32" t="s">
        <v>60</v>
      </c>
      <c r="I362" s="49" t="s">
        <v>160</v>
      </c>
      <c r="J362" s="49" t="s">
        <v>161</v>
      </c>
      <c r="K362" s="49" t="s">
        <v>162</v>
      </c>
      <c r="L362" s="49" t="s">
        <v>163</v>
      </c>
      <c r="M362" s="32" t="s">
        <v>164</v>
      </c>
      <c r="N362" s="32" t="s">
        <v>55</v>
      </c>
      <c r="O362" s="32" t="s">
        <v>56</v>
      </c>
      <c r="P362" s="32" t="s">
        <v>16</v>
      </c>
      <c r="Q362" s="32" t="s">
        <v>242</v>
      </c>
      <c r="R362" s="32" t="s">
        <v>59</v>
      </c>
      <c r="S362" s="32" t="s">
        <v>66</v>
      </c>
      <c r="T362" s="32" t="s">
        <v>64</v>
      </c>
      <c r="U362" s="32" t="s">
        <v>65</v>
      </c>
    </row>
    <row r="363" spans="1:21" s="75" customFormat="1" x14ac:dyDescent="0.25">
      <c r="A363" s="33">
        <v>192</v>
      </c>
      <c r="B363" s="67" t="s">
        <v>456</v>
      </c>
      <c r="C363" s="67" t="s">
        <v>128</v>
      </c>
      <c r="D363" s="12">
        <v>15</v>
      </c>
      <c r="E363" s="69">
        <v>312.26</v>
      </c>
      <c r="F363" s="69">
        <f>D363*E363</f>
        <v>4683.8999999999996</v>
      </c>
      <c r="G363" s="69">
        <v>400</v>
      </c>
      <c r="H363" s="69"/>
      <c r="I363" s="69">
        <f>VLOOKUP($F$71,Tabisr,1)</f>
        <v>5925.91</v>
      </c>
      <c r="J363" s="70">
        <f>+F363-I363</f>
        <v>-1242.0100000000002</v>
      </c>
      <c r="K363" s="71">
        <f>VLOOKUP($F$71,Tabisr,4)</f>
        <v>0.21360000000000001</v>
      </c>
      <c r="L363" s="69">
        <f>(F363-4244.01)*17.92%</f>
        <v>78.828287999999901</v>
      </c>
      <c r="M363" s="69">
        <v>388.05</v>
      </c>
      <c r="N363" s="69">
        <f>L363+M363</f>
        <v>466.87828799999988</v>
      </c>
      <c r="O363" s="69">
        <f>VLOOKUP($F$71,Tabsub,3)</f>
        <v>0</v>
      </c>
      <c r="P363" s="69"/>
      <c r="Q363" s="69"/>
      <c r="R363" s="69"/>
      <c r="S363" s="69"/>
      <c r="T363" s="70">
        <f>F363+G363+H363-N363+O363-P363-Q363-R363-S363</f>
        <v>4617.0217119999998</v>
      </c>
      <c r="U363" s="70">
        <f>T363-G363</f>
        <v>4217.0217119999998</v>
      </c>
    </row>
    <row r="364" spans="1:21" s="72" customFormat="1" x14ac:dyDescent="0.25">
      <c r="A364" s="33">
        <v>193</v>
      </c>
      <c r="B364" s="67" t="s">
        <v>299</v>
      </c>
      <c r="C364" s="67" t="s">
        <v>90</v>
      </c>
      <c r="D364" s="12">
        <v>15</v>
      </c>
      <c r="E364" s="12">
        <v>214.1</v>
      </c>
      <c r="F364" s="69">
        <f>D364*E364</f>
        <v>3211.5</v>
      </c>
      <c r="G364" s="69">
        <v>400</v>
      </c>
      <c r="H364" s="33"/>
      <c r="I364" s="69">
        <f>VLOOKUP($F$363,Tabisr,1)</f>
        <v>4257.91</v>
      </c>
      <c r="J364" s="70">
        <f t="shared" ref="J364:J365" si="277">+F364-I364</f>
        <v>-1046.4099999999999</v>
      </c>
      <c r="K364" s="71">
        <f>VLOOKUP($F$363,Tabisr,4)</f>
        <v>0.16</v>
      </c>
      <c r="L364" s="69">
        <f>(F364-2077.51)*10.88%</f>
        <v>123.37811199999999</v>
      </c>
      <c r="M364" s="69">
        <v>121.95</v>
      </c>
      <c r="N364" s="69">
        <f>L364+M364</f>
        <v>245.32811199999998</v>
      </c>
      <c r="O364" s="33"/>
      <c r="P364" s="33"/>
      <c r="Q364" s="33"/>
      <c r="R364" s="33"/>
      <c r="S364" s="33"/>
      <c r="T364" s="70">
        <f>F364+G364+H364-N364+O364-P364-Q364-R364-S364</f>
        <v>3366.1718879999999</v>
      </c>
      <c r="U364" s="70">
        <f>T364-G364</f>
        <v>2966.1718879999999</v>
      </c>
    </row>
    <row r="365" spans="1:21" s="72" customFormat="1" x14ac:dyDescent="0.25">
      <c r="A365" s="33">
        <v>194</v>
      </c>
      <c r="B365" s="67" t="s">
        <v>264</v>
      </c>
      <c r="C365" s="67" t="s">
        <v>70</v>
      </c>
      <c r="D365" s="12">
        <v>15</v>
      </c>
      <c r="E365" s="12">
        <v>263.56</v>
      </c>
      <c r="F365" s="69">
        <f>D365*E365</f>
        <v>3953.4</v>
      </c>
      <c r="G365" s="69">
        <v>400</v>
      </c>
      <c r="H365" s="33"/>
      <c r="I365" s="69">
        <f>VLOOKUP($F$363,Tabisr,1)</f>
        <v>4257.91</v>
      </c>
      <c r="J365" s="70">
        <f t="shared" si="277"/>
        <v>-304.50999999999976</v>
      </c>
      <c r="K365" s="71">
        <f>VLOOKUP($F$363,Tabisr,4)</f>
        <v>0.16</v>
      </c>
      <c r="L365" s="69">
        <f>(F365-3651.01)*16%</f>
        <v>48.382399999999983</v>
      </c>
      <c r="M365" s="69">
        <v>293.25</v>
      </c>
      <c r="N365" s="69">
        <f>L365+M365</f>
        <v>341.63239999999996</v>
      </c>
      <c r="O365" s="69"/>
      <c r="P365" s="69"/>
      <c r="Q365" s="69"/>
      <c r="R365" s="69"/>
      <c r="S365" s="69"/>
      <c r="T365" s="70">
        <f>F365+G365+H365-N365+O365-P365-Q365-R365-S365</f>
        <v>4011.7675999999997</v>
      </c>
      <c r="U365" s="70">
        <f>T365-G365</f>
        <v>3611.7675999999997</v>
      </c>
    </row>
    <row r="366" spans="1:21" s="72" customFormat="1" x14ac:dyDescent="0.25">
      <c r="A366" s="43"/>
      <c r="B366" s="63"/>
      <c r="C366" s="73"/>
      <c r="D366" s="13"/>
      <c r="E366" s="13"/>
      <c r="F366" s="74">
        <f>+SUM(F363:F365)</f>
        <v>11848.8</v>
      </c>
      <c r="G366" s="74">
        <f>+SUM(G363:G365)</f>
        <v>1200</v>
      </c>
      <c r="H366" s="74">
        <f t="shared" ref="H366:S366" si="278">+SUM(H363:H365)</f>
        <v>0</v>
      </c>
      <c r="I366" s="74">
        <f t="shared" si="278"/>
        <v>14441.73</v>
      </c>
      <c r="J366" s="74">
        <f t="shared" si="278"/>
        <v>-2592.9299999999998</v>
      </c>
      <c r="K366" s="74">
        <f t="shared" si="278"/>
        <v>0.53360000000000007</v>
      </c>
      <c r="L366" s="74">
        <f t="shared" si="278"/>
        <v>250.58879999999988</v>
      </c>
      <c r="M366" s="74">
        <f t="shared" si="278"/>
        <v>803.25</v>
      </c>
      <c r="N366" s="74">
        <f>+SUM(N363:N365)</f>
        <v>1053.8387999999998</v>
      </c>
      <c r="O366" s="74">
        <f t="shared" si="278"/>
        <v>0</v>
      </c>
      <c r="P366" s="74">
        <f t="shared" si="278"/>
        <v>0</v>
      </c>
      <c r="Q366" s="74">
        <f t="shared" si="278"/>
        <v>0</v>
      </c>
      <c r="R366" s="74">
        <f t="shared" si="278"/>
        <v>0</v>
      </c>
      <c r="S366" s="74">
        <f t="shared" si="278"/>
        <v>0</v>
      </c>
      <c r="T366" s="74">
        <f>+SUM(T363:T365)</f>
        <v>11994.9612</v>
      </c>
      <c r="U366" s="74">
        <f>+SUM(U363:U365)</f>
        <v>10794.9612</v>
      </c>
    </row>
    <row r="367" spans="1:21" s="72" customFormat="1" x14ac:dyDescent="0.25">
      <c r="A367" s="43"/>
      <c r="B367" s="63"/>
      <c r="C367" s="73"/>
      <c r="D367" s="13"/>
      <c r="E367" s="13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</row>
    <row r="368" spans="1:21" x14ac:dyDescent="0.25">
      <c r="A368" s="43"/>
      <c r="B368" s="63"/>
      <c r="C368" s="73"/>
      <c r="D368" s="13"/>
      <c r="E368" s="13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65"/>
      <c r="U368" s="65"/>
    </row>
    <row r="369" spans="1:21" x14ac:dyDescent="0.25">
      <c r="A369" s="192" t="s">
        <v>216</v>
      </c>
      <c r="B369" s="193"/>
      <c r="C369" s="193"/>
      <c r="D369" s="193"/>
      <c r="E369" s="193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4"/>
    </row>
    <row r="370" spans="1:21" ht="24" x14ac:dyDescent="0.25">
      <c r="A370" s="32" t="s">
        <v>57</v>
      </c>
      <c r="B370" s="32" t="s">
        <v>13</v>
      </c>
      <c r="C370" s="32" t="s">
        <v>68</v>
      </c>
      <c r="D370" s="32" t="s">
        <v>21</v>
      </c>
      <c r="E370" s="32" t="s">
        <v>15</v>
      </c>
      <c r="F370" s="32" t="s">
        <v>14</v>
      </c>
      <c r="G370" s="32" t="s">
        <v>54</v>
      </c>
      <c r="H370" s="32" t="s">
        <v>60</v>
      </c>
      <c r="I370" s="49" t="s">
        <v>160</v>
      </c>
      <c r="J370" s="49" t="s">
        <v>161</v>
      </c>
      <c r="K370" s="49" t="s">
        <v>162</v>
      </c>
      <c r="L370" s="49" t="s">
        <v>163</v>
      </c>
      <c r="M370" s="32" t="s">
        <v>164</v>
      </c>
      <c r="N370" s="32" t="s">
        <v>55</v>
      </c>
      <c r="O370" s="32" t="s">
        <v>56</v>
      </c>
      <c r="P370" s="32" t="s">
        <v>16</v>
      </c>
      <c r="Q370" s="32" t="s">
        <v>242</v>
      </c>
      <c r="R370" s="32" t="s">
        <v>59</v>
      </c>
      <c r="S370" s="32" t="s">
        <v>66</v>
      </c>
      <c r="T370" s="32" t="s">
        <v>64</v>
      </c>
      <c r="U370" s="32" t="s">
        <v>65</v>
      </c>
    </row>
    <row r="371" spans="1:21" x14ac:dyDescent="0.25">
      <c r="A371" s="33">
        <v>195</v>
      </c>
      <c r="B371" s="67" t="s">
        <v>457</v>
      </c>
      <c r="C371" s="67" t="s">
        <v>128</v>
      </c>
      <c r="D371" s="12">
        <v>15</v>
      </c>
      <c r="E371" s="69">
        <v>312.26</v>
      </c>
      <c r="F371" s="69">
        <f>D371*E371</f>
        <v>4683.8999999999996</v>
      </c>
      <c r="G371" s="69">
        <v>400</v>
      </c>
      <c r="H371" s="69"/>
      <c r="I371" s="69">
        <f>VLOOKUP($F$71,Tabisr,1)</f>
        <v>5925.91</v>
      </c>
      <c r="J371" s="70">
        <f>+F371-I371</f>
        <v>-1242.0100000000002</v>
      </c>
      <c r="K371" s="71">
        <f>VLOOKUP($F$71,Tabisr,4)</f>
        <v>0.21360000000000001</v>
      </c>
      <c r="L371" s="69">
        <f>(F371-4244.01)*17.92%</f>
        <v>78.828287999999901</v>
      </c>
      <c r="M371" s="69">
        <v>388.05</v>
      </c>
      <c r="N371" s="69">
        <f>L371+M371</f>
        <v>466.87828799999988</v>
      </c>
      <c r="O371" s="69">
        <f>VLOOKUP($F$71,Tabsub,3)</f>
        <v>0</v>
      </c>
      <c r="P371" s="69"/>
      <c r="Q371" s="69"/>
      <c r="R371" s="69"/>
      <c r="S371" s="69"/>
      <c r="T371" s="70">
        <f>F371+G371+H371-N371+O371-P371-Q371-R371-S371</f>
        <v>4617.0217119999998</v>
      </c>
      <c r="U371" s="70">
        <f>T371-G371</f>
        <v>4217.0217119999998</v>
      </c>
    </row>
    <row r="372" spans="1:21" x14ac:dyDescent="0.25">
      <c r="A372" s="33">
        <v>196</v>
      </c>
      <c r="B372" s="67" t="s">
        <v>458</v>
      </c>
      <c r="C372" s="67" t="s">
        <v>70</v>
      </c>
      <c r="D372" s="11">
        <v>15</v>
      </c>
      <c r="E372" s="52">
        <v>263.56</v>
      </c>
      <c r="F372" s="52">
        <f>D372*E372</f>
        <v>3953.4</v>
      </c>
      <c r="G372" s="52">
        <v>400</v>
      </c>
      <c r="H372" s="52"/>
      <c r="I372" s="52">
        <f>VLOOKUP($F$48,Tabisr,1)</f>
        <v>2422.81</v>
      </c>
      <c r="J372" s="53">
        <f t="shared" ref="J372" si="279">+F372-I372</f>
        <v>1530.5900000000001</v>
      </c>
      <c r="K372" s="54">
        <f>VLOOKUP($F$48,Tabisr,4)</f>
        <v>0.10879999999999999</v>
      </c>
      <c r="L372" s="52">
        <f>(F372-3651.01)*16%</f>
        <v>48.382399999999983</v>
      </c>
      <c r="M372" s="52">
        <v>293.25</v>
      </c>
      <c r="N372" s="52">
        <f>M372+L372</f>
        <v>341.63239999999996</v>
      </c>
      <c r="O372" s="52">
        <f>VLOOKUP($F$48,Tabsub,3)</f>
        <v>0</v>
      </c>
      <c r="P372" s="52"/>
      <c r="Q372" s="52"/>
      <c r="R372" s="52"/>
      <c r="S372" s="52"/>
      <c r="T372" s="53">
        <f t="shared" ref="T372" si="280">F372+G372+H372-N372+O372-P372-Q372-R372-S372</f>
        <v>4011.7675999999997</v>
      </c>
      <c r="U372" s="53">
        <f>T372-G372</f>
        <v>3611.7675999999997</v>
      </c>
    </row>
    <row r="373" spans="1:21" x14ac:dyDescent="0.25">
      <c r="A373" s="33">
        <v>197</v>
      </c>
      <c r="B373" s="67" t="s">
        <v>475</v>
      </c>
      <c r="C373" s="151" t="s">
        <v>268</v>
      </c>
      <c r="D373" s="12">
        <v>15</v>
      </c>
      <c r="E373" s="12">
        <v>214.1</v>
      </c>
      <c r="F373" s="69">
        <f>D373*E373</f>
        <v>3211.5</v>
      </c>
      <c r="G373" s="69">
        <v>400</v>
      </c>
      <c r="H373" s="33"/>
      <c r="I373" s="69">
        <f>VLOOKUP($F$371,Tabisr,1)</f>
        <v>4257.91</v>
      </c>
      <c r="J373" s="70">
        <f t="shared" ref="J373:J375" si="281">+F373-I373</f>
        <v>-1046.4099999999999</v>
      </c>
      <c r="K373" s="71">
        <f>VLOOKUP($F$371,Tabisr,4)</f>
        <v>0.16</v>
      </c>
      <c r="L373" s="69">
        <f>(F373-2077.51)*10.88%</f>
        <v>123.37811199999999</v>
      </c>
      <c r="M373" s="69">
        <v>121.95</v>
      </c>
      <c r="N373" s="69">
        <f>L373+M373</f>
        <v>245.32811199999998</v>
      </c>
      <c r="O373" s="69">
        <f>VLOOKUP($F$375,Tabsub,3)</f>
        <v>125.1</v>
      </c>
      <c r="P373" s="69"/>
      <c r="Q373" s="69"/>
      <c r="R373" s="69"/>
      <c r="S373" s="69"/>
      <c r="T373" s="70">
        <f>F373+G373+H373-N373+O373-P373-Q373-R373-S373</f>
        <v>3491.2718879999998</v>
      </c>
      <c r="U373" s="70">
        <f>T373-G373</f>
        <v>3091.2718879999998</v>
      </c>
    </row>
    <row r="374" spans="1:21" x14ac:dyDescent="0.25">
      <c r="A374" s="33">
        <v>198</v>
      </c>
      <c r="B374" s="67" t="s">
        <v>303</v>
      </c>
      <c r="C374" s="67" t="s">
        <v>323</v>
      </c>
      <c r="D374" s="12">
        <v>15</v>
      </c>
      <c r="E374" s="12">
        <v>263.56</v>
      </c>
      <c r="F374" s="69">
        <f>D374*E374</f>
        <v>3953.4</v>
      </c>
      <c r="G374" s="69">
        <v>400</v>
      </c>
      <c r="H374" s="145"/>
      <c r="I374" s="69">
        <f>VLOOKUP($F$371,Tabisr,1)</f>
        <v>4257.91</v>
      </c>
      <c r="J374" s="70">
        <f t="shared" si="281"/>
        <v>-304.50999999999976</v>
      </c>
      <c r="K374" s="71">
        <f>VLOOKUP($F$371,Tabisr,4)</f>
        <v>0.16</v>
      </c>
      <c r="L374" s="69">
        <f>(F374-3651.01)*16%</f>
        <v>48.382399999999983</v>
      </c>
      <c r="M374" s="69">
        <v>293.25</v>
      </c>
      <c r="N374" s="69">
        <f>L374+M374</f>
        <v>341.63239999999996</v>
      </c>
      <c r="O374" s="145"/>
      <c r="P374" s="40"/>
      <c r="Q374" s="145"/>
      <c r="R374" s="145"/>
      <c r="S374" s="145"/>
      <c r="T374" s="70">
        <f>F374+G374+H374-N374+O374-P374-Q374-R374-S374</f>
        <v>4011.7675999999997</v>
      </c>
      <c r="U374" s="70">
        <f>T374-G374</f>
        <v>3611.7675999999997</v>
      </c>
    </row>
    <row r="375" spans="1:21" x14ac:dyDescent="0.25">
      <c r="A375" s="33">
        <v>199</v>
      </c>
      <c r="B375" s="152" t="s">
        <v>177</v>
      </c>
      <c r="C375" s="151" t="s">
        <v>90</v>
      </c>
      <c r="D375" s="12">
        <v>15</v>
      </c>
      <c r="E375" s="12">
        <v>214.1</v>
      </c>
      <c r="F375" s="69">
        <f>D375*E375</f>
        <v>3211.5</v>
      </c>
      <c r="G375" s="69">
        <v>400</v>
      </c>
      <c r="H375" s="33"/>
      <c r="I375" s="69">
        <f>VLOOKUP($F$371,Tabisr,1)</f>
        <v>4257.91</v>
      </c>
      <c r="J375" s="70">
        <f t="shared" si="281"/>
        <v>-1046.4099999999999</v>
      </c>
      <c r="K375" s="71">
        <f>VLOOKUP($F$371,Tabisr,4)</f>
        <v>0.16</v>
      </c>
      <c r="L375" s="69">
        <f>(F375-2077.51)*10.88%</f>
        <v>123.37811199999999</v>
      </c>
      <c r="M375" s="69">
        <v>121.95</v>
      </c>
      <c r="N375" s="69">
        <f>L375+M375</f>
        <v>245.32811199999998</v>
      </c>
      <c r="O375" s="69">
        <f>VLOOKUP($F$375,Tabsub,3)</f>
        <v>125.1</v>
      </c>
      <c r="P375" s="69"/>
      <c r="Q375" s="69"/>
      <c r="R375" s="69"/>
      <c r="S375" s="69"/>
      <c r="T375" s="70">
        <f>F375+G375+H375-N375+O375-P375-Q375-R375-S375</f>
        <v>3491.2718879999998</v>
      </c>
      <c r="U375" s="70">
        <f>T375-G375</f>
        <v>3091.2718879999998</v>
      </c>
    </row>
    <row r="376" spans="1:21" x14ac:dyDescent="0.25">
      <c r="A376" s="39"/>
      <c r="B376" s="103"/>
      <c r="C376" s="104"/>
      <c r="D376" s="13"/>
      <c r="E376" s="13"/>
      <c r="F376" s="74">
        <f>+SUM(F371:F375)</f>
        <v>19013.699999999997</v>
      </c>
      <c r="G376" s="74">
        <f>+SUM(G371:G375)</f>
        <v>2000</v>
      </c>
      <c r="H376" s="74">
        <f t="shared" ref="H376:S376" si="282">+SUM(H371:H375)</f>
        <v>0</v>
      </c>
      <c r="I376" s="74">
        <f t="shared" si="282"/>
        <v>21122.45</v>
      </c>
      <c r="J376" s="74">
        <f t="shared" si="282"/>
        <v>-2108.7499999999995</v>
      </c>
      <c r="K376" s="74">
        <f t="shared" si="282"/>
        <v>0.80240000000000011</v>
      </c>
      <c r="L376" s="74">
        <f t="shared" si="282"/>
        <v>422.34931199999983</v>
      </c>
      <c r="M376" s="74">
        <f t="shared" si="282"/>
        <v>1218.45</v>
      </c>
      <c r="N376" s="74">
        <f>+SUM(N371:N375)</f>
        <v>1640.7993119999996</v>
      </c>
      <c r="O376" s="74">
        <f>+SUM(O371:O375)</f>
        <v>250.2</v>
      </c>
      <c r="P376" s="74">
        <f>+SUM(P371:P375)</f>
        <v>0</v>
      </c>
      <c r="Q376" s="74">
        <f t="shared" si="282"/>
        <v>0</v>
      </c>
      <c r="R376" s="74">
        <f t="shared" si="282"/>
        <v>0</v>
      </c>
      <c r="S376" s="74">
        <f t="shared" si="282"/>
        <v>0</v>
      </c>
      <c r="T376" s="74">
        <f>+SUM(T371:T375)</f>
        <v>19623.100687999999</v>
      </c>
      <c r="U376" s="74">
        <f>+SUM(U371:U375)</f>
        <v>17623.100687999999</v>
      </c>
    </row>
    <row r="377" spans="1:21" x14ac:dyDescent="0.25">
      <c r="A377" s="39"/>
      <c r="B377" s="103"/>
      <c r="C377" s="104"/>
      <c r="D377" s="13"/>
      <c r="E377" s="13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</row>
    <row r="378" spans="1:21" x14ac:dyDescent="0.25">
      <c r="A378" s="39"/>
      <c r="B378" s="103"/>
      <c r="C378" s="104"/>
      <c r="D378" s="13"/>
      <c r="E378" s="13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65"/>
      <c r="U378" s="65"/>
    </row>
    <row r="379" spans="1:21" x14ac:dyDescent="0.25">
      <c r="A379" s="192" t="s">
        <v>217</v>
      </c>
      <c r="B379" s="193"/>
      <c r="C379" s="193"/>
      <c r="D379" s="193"/>
      <c r="E379" s="193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4"/>
    </row>
    <row r="380" spans="1:21" ht="24" x14ac:dyDescent="0.25">
      <c r="A380" s="32" t="s">
        <v>57</v>
      </c>
      <c r="B380" s="32" t="s">
        <v>13</v>
      </c>
      <c r="C380" s="32" t="s">
        <v>68</v>
      </c>
      <c r="D380" s="32" t="s">
        <v>21</v>
      </c>
      <c r="E380" s="32" t="s">
        <v>15</v>
      </c>
      <c r="F380" s="32" t="s">
        <v>14</v>
      </c>
      <c r="G380" s="32" t="s">
        <v>54</v>
      </c>
      <c r="H380" s="32" t="s">
        <v>60</v>
      </c>
      <c r="I380" s="49" t="s">
        <v>160</v>
      </c>
      <c r="J380" s="49" t="s">
        <v>161</v>
      </c>
      <c r="K380" s="49" t="s">
        <v>162</v>
      </c>
      <c r="L380" s="49" t="s">
        <v>163</v>
      </c>
      <c r="M380" s="32" t="s">
        <v>164</v>
      </c>
      <c r="N380" s="32" t="s">
        <v>55</v>
      </c>
      <c r="O380" s="32" t="s">
        <v>56</v>
      </c>
      <c r="P380" s="32" t="s">
        <v>16</v>
      </c>
      <c r="Q380" s="32" t="s">
        <v>242</v>
      </c>
      <c r="R380" s="32" t="s">
        <v>59</v>
      </c>
      <c r="S380" s="32" t="s">
        <v>66</v>
      </c>
      <c r="T380" s="32" t="s">
        <v>64</v>
      </c>
      <c r="U380" s="32" t="s">
        <v>65</v>
      </c>
    </row>
    <row r="381" spans="1:21" x14ac:dyDescent="0.25">
      <c r="A381" s="33">
        <v>201</v>
      </c>
      <c r="B381" s="116" t="s">
        <v>455</v>
      </c>
      <c r="C381" s="67" t="s">
        <v>128</v>
      </c>
      <c r="D381" s="12">
        <v>16</v>
      </c>
      <c r="E381" s="69">
        <v>312.26</v>
      </c>
      <c r="F381" s="69">
        <f>D381*E381</f>
        <v>4996.16</v>
      </c>
      <c r="G381" s="69">
        <v>400</v>
      </c>
      <c r="H381" s="69"/>
      <c r="I381" s="69">
        <f>VLOOKUP($F$71,Tabisr,1)</f>
        <v>5925.91</v>
      </c>
      <c r="J381" s="70">
        <f>+F381-I381</f>
        <v>-929.75</v>
      </c>
      <c r="K381" s="71">
        <f>VLOOKUP($F$71,Tabisr,4)</f>
        <v>0.21360000000000001</v>
      </c>
      <c r="L381" s="69">
        <f>(F381-4244.01)*17.92%</f>
        <v>134.78527999999994</v>
      </c>
      <c r="M381" s="69">
        <v>388.05</v>
      </c>
      <c r="N381" s="69">
        <f>L381+M381</f>
        <v>522.83528000000001</v>
      </c>
      <c r="O381" s="69">
        <f>VLOOKUP($F$71,Tabsub,3)</f>
        <v>0</v>
      </c>
      <c r="P381" s="69"/>
      <c r="Q381" s="69"/>
      <c r="R381" s="69"/>
      <c r="S381" s="69"/>
      <c r="T381" s="70">
        <f>F381+G381+H381-N381+O381-P381-Q381-R381-S381</f>
        <v>4873.3247199999996</v>
      </c>
      <c r="U381" s="70">
        <f>T381-G381</f>
        <v>4473.3247199999996</v>
      </c>
    </row>
    <row r="382" spans="1:21" ht="12.6" customHeight="1" x14ac:dyDescent="0.25">
      <c r="A382" s="33">
        <v>200</v>
      </c>
      <c r="B382" s="67" t="s">
        <v>139</v>
      </c>
      <c r="C382" s="67" t="s">
        <v>70</v>
      </c>
      <c r="D382" s="11">
        <v>16</v>
      </c>
      <c r="E382" s="52">
        <v>263.56</v>
      </c>
      <c r="F382" s="52">
        <f>D382*E382</f>
        <v>4216.96</v>
      </c>
      <c r="G382" s="52">
        <v>400</v>
      </c>
      <c r="H382" s="52"/>
      <c r="I382" s="52">
        <f>VLOOKUP($F$48,Tabisr,1)</f>
        <v>2422.81</v>
      </c>
      <c r="J382" s="53">
        <f t="shared" ref="J382:J383" si="283">+F382-I382</f>
        <v>1794.15</v>
      </c>
      <c r="K382" s="54">
        <f>VLOOKUP($F$48,Tabisr,4)</f>
        <v>0.10879999999999999</v>
      </c>
      <c r="L382" s="52">
        <f>(F382-3651.01)*16%</f>
        <v>90.551999999999978</v>
      </c>
      <c r="M382" s="52">
        <v>293.25</v>
      </c>
      <c r="N382" s="52">
        <f>M382+L382</f>
        <v>383.80199999999996</v>
      </c>
      <c r="O382" s="52">
        <f>VLOOKUP($F$48,Tabsub,3)</f>
        <v>0</v>
      </c>
      <c r="P382" s="52"/>
      <c r="Q382" s="52"/>
      <c r="R382" s="52"/>
      <c r="S382" s="52"/>
      <c r="T382" s="53">
        <f t="shared" ref="T382" si="284">F382+G382+H382-N382+O382-P382-Q382-R382-S382</f>
        <v>4233.1580000000004</v>
      </c>
      <c r="U382" s="53">
        <f>T382-G382</f>
        <v>3833.1580000000004</v>
      </c>
    </row>
    <row r="383" spans="1:21" s="75" customFormat="1" x14ac:dyDescent="0.25">
      <c r="A383" s="33">
        <v>202</v>
      </c>
      <c r="B383" s="67" t="s">
        <v>474</v>
      </c>
      <c r="C383" s="68" t="s">
        <v>70</v>
      </c>
      <c r="D383" s="33">
        <v>16</v>
      </c>
      <c r="E383" s="12">
        <v>263.56</v>
      </c>
      <c r="F383" s="69">
        <f>D383*E383</f>
        <v>4216.96</v>
      </c>
      <c r="G383" s="69">
        <v>400</v>
      </c>
      <c r="H383" s="33"/>
      <c r="I383" s="69" t="e">
        <f>VLOOKUP($F$359,Tabisr,1)</f>
        <v>#N/A</v>
      </c>
      <c r="J383" s="70" t="e">
        <f t="shared" si="283"/>
        <v>#N/A</v>
      </c>
      <c r="K383" s="71" t="e">
        <f>VLOOKUP($F$359,Tabisr,4)</f>
        <v>#N/A</v>
      </c>
      <c r="L383" s="69">
        <f>(F383-2077.51)*10.88%</f>
        <v>232.77215999999999</v>
      </c>
      <c r="M383" s="69">
        <v>121.95</v>
      </c>
      <c r="N383" s="52">
        <v>341.63</v>
      </c>
      <c r="O383" s="69"/>
      <c r="P383" s="69"/>
      <c r="Q383" s="69"/>
      <c r="R383" s="69"/>
      <c r="S383" s="69"/>
      <c r="T383" s="70">
        <f>F383+G383+H383-N383+O383-P383-Q383-R383-S383</f>
        <v>4275.33</v>
      </c>
      <c r="U383" s="70">
        <f>T383-G383</f>
        <v>3875.33</v>
      </c>
    </row>
    <row r="384" spans="1:21" s="72" customFormat="1" x14ac:dyDescent="0.25">
      <c r="A384" s="35">
        <v>264</v>
      </c>
      <c r="B384" s="57" t="s">
        <v>244</v>
      </c>
      <c r="C384" s="57" t="s">
        <v>368</v>
      </c>
      <c r="D384" s="35"/>
      <c r="E384" s="14"/>
      <c r="F384" s="59"/>
      <c r="G384" s="59"/>
      <c r="H384" s="35"/>
      <c r="I384" s="59">
        <f>VLOOKUP($F$371,Tabisr,1)</f>
        <v>4257.91</v>
      </c>
      <c r="J384" s="61">
        <f t="shared" ref="J384" si="285">+F384-I384</f>
        <v>-4257.91</v>
      </c>
      <c r="K384" s="62">
        <f>VLOOKUP($F$371,Tabisr,4)</f>
        <v>0.16</v>
      </c>
      <c r="L384" s="59"/>
      <c r="M384" s="59"/>
      <c r="N384" s="59"/>
      <c r="O384" s="59"/>
      <c r="P384" s="59"/>
      <c r="Q384" s="59"/>
      <c r="R384" s="59"/>
      <c r="S384" s="59"/>
      <c r="T384" s="61"/>
      <c r="U384" s="61"/>
    </row>
    <row r="385" spans="1:22" s="72" customFormat="1" x14ac:dyDescent="0.25">
      <c r="A385" s="39"/>
      <c r="B385" s="80"/>
      <c r="C385" s="81"/>
      <c r="D385" s="82"/>
      <c r="E385" s="82"/>
      <c r="F385" s="83">
        <f>+SUM(F381:F384)</f>
        <v>13430.079999999998</v>
      </c>
      <c r="G385" s="83">
        <f>+SUM(G381:G384)</f>
        <v>1200</v>
      </c>
      <c r="H385" s="83">
        <f t="shared" ref="H385:S385" si="286">+SUM(H382:H384)</f>
        <v>0</v>
      </c>
      <c r="I385" s="83" t="e">
        <f t="shared" si="286"/>
        <v>#N/A</v>
      </c>
      <c r="J385" s="83" t="e">
        <f t="shared" si="286"/>
        <v>#N/A</v>
      </c>
      <c r="K385" s="83" t="e">
        <f t="shared" si="286"/>
        <v>#N/A</v>
      </c>
      <c r="L385" s="83">
        <f t="shared" si="286"/>
        <v>323.32415999999995</v>
      </c>
      <c r="M385" s="83">
        <f t="shared" si="286"/>
        <v>415.2</v>
      </c>
      <c r="N385" s="83">
        <f>+SUM(N381:N384)</f>
        <v>1248.26728</v>
      </c>
      <c r="O385" s="83">
        <f t="shared" si="286"/>
        <v>0</v>
      </c>
      <c r="P385" s="83">
        <f>+SUM(P381:P384)</f>
        <v>0</v>
      </c>
      <c r="Q385" s="83">
        <f t="shared" si="286"/>
        <v>0</v>
      </c>
      <c r="R385" s="83">
        <f t="shared" si="286"/>
        <v>0</v>
      </c>
      <c r="S385" s="83">
        <f t="shared" si="286"/>
        <v>0</v>
      </c>
      <c r="T385" s="83">
        <f>+SUM(T381:T384)</f>
        <v>13381.81272</v>
      </c>
      <c r="U385" s="83">
        <f>+SUM(U381:U384)</f>
        <v>12181.81272</v>
      </c>
    </row>
    <row r="386" spans="1:22" s="72" customFormat="1" x14ac:dyDescent="0.25">
      <c r="A386" s="39"/>
      <c r="B386" s="80"/>
      <c r="C386" s="81"/>
      <c r="D386" s="82"/>
      <c r="E386" s="82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</row>
    <row r="387" spans="1:22" s="72" customFormat="1" x14ac:dyDescent="0.25">
      <c r="A387" s="39"/>
      <c r="B387" s="80"/>
      <c r="C387" s="81"/>
      <c r="D387" s="82"/>
      <c r="E387" s="82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</row>
    <row r="388" spans="1:22" s="72" customFormat="1" x14ac:dyDescent="0.25">
      <c r="A388" s="192" t="s">
        <v>218</v>
      </c>
      <c r="B388" s="193"/>
      <c r="C388" s="193"/>
      <c r="D388" s="193"/>
      <c r="E388" s="193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4"/>
    </row>
    <row r="389" spans="1:22" s="72" customFormat="1" ht="24" x14ac:dyDescent="0.25">
      <c r="A389" s="32" t="s">
        <v>57</v>
      </c>
      <c r="B389" s="32" t="s">
        <v>13</v>
      </c>
      <c r="C389" s="32" t="s">
        <v>68</v>
      </c>
      <c r="D389" s="32" t="s">
        <v>21</v>
      </c>
      <c r="E389" s="32" t="s">
        <v>15</v>
      </c>
      <c r="F389" s="32" t="s">
        <v>14</v>
      </c>
      <c r="G389" s="32" t="s">
        <v>54</v>
      </c>
      <c r="H389" s="32" t="s">
        <v>60</v>
      </c>
      <c r="I389" s="49" t="s">
        <v>160</v>
      </c>
      <c r="J389" s="49" t="s">
        <v>161</v>
      </c>
      <c r="K389" s="49" t="s">
        <v>162</v>
      </c>
      <c r="L389" s="49" t="s">
        <v>163</v>
      </c>
      <c r="M389" s="32" t="s">
        <v>164</v>
      </c>
      <c r="N389" s="32" t="s">
        <v>55</v>
      </c>
      <c r="O389" s="32" t="s">
        <v>56</v>
      </c>
      <c r="P389" s="32" t="s">
        <v>16</v>
      </c>
      <c r="Q389" s="32" t="s">
        <v>242</v>
      </c>
      <c r="R389" s="32" t="s">
        <v>59</v>
      </c>
      <c r="S389" s="32" t="s">
        <v>66</v>
      </c>
      <c r="T389" s="32" t="s">
        <v>64</v>
      </c>
      <c r="U389" s="32" t="s">
        <v>65</v>
      </c>
      <c r="V389" s="75"/>
    </row>
    <row r="390" spans="1:22" s="72" customFormat="1" x14ac:dyDescent="0.25">
      <c r="A390" s="33">
        <v>203</v>
      </c>
      <c r="B390" s="78" t="s">
        <v>451</v>
      </c>
      <c r="C390" s="67" t="s">
        <v>128</v>
      </c>
      <c r="D390" s="12">
        <v>15</v>
      </c>
      <c r="E390" s="69">
        <v>312.26</v>
      </c>
      <c r="F390" s="69">
        <f>D390*E390</f>
        <v>4683.8999999999996</v>
      </c>
      <c r="G390" s="69">
        <v>400</v>
      </c>
      <c r="H390" s="69"/>
      <c r="I390" s="69">
        <f>VLOOKUP($F$71,Tabisr,1)</f>
        <v>5925.91</v>
      </c>
      <c r="J390" s="70">
        <f>+F390-I390</f>
        <v>-1242.0100000000002</v>
      </c>
      <c r="K390" s="71">
        <f>VLOOKUP($F$71,Tabisr,4)</f>
        <v>0.21360000000000001</v>
      </c>
      <c r="L390" s="69">
        <f>(F390-4244.01)*17.92%</f>
        <v>78.828287999999901</v>
      </c>
      <c r="M390" s="69">
        <v>388.05</v>
      </c>
      <c r="N390" s="69">
        <f>L390+M390</f>
        <v>466.87828799999988</v>
      </c>
      <c r="O390" s="69">
        <f>VLOOKUP($F$71,Tabsub,3)</f>
        <v>0</v>
      </c>
      <c r="P390" s="69"/>
      <c r="Q390" s="69"/>
      <c r="R390" s="69"/>
      <c r="S390" s="69"/>
      <c r="T390" s="70">
        <f>F390+G390+H390-N390+O390-P390-Q390-R390-S390</f>
        <v>4617.0217119999998</v>
      </c>
      <c r="U390" s="70">
        <f>T390-G390</f>
        <v>4217.0217119999998</v>
      </c>
    </row>
    <row r="391" spans="1:22" s="72" customFormat="1" x14ac:dyDescent="0.25">
      <c r="A391" s="40">
        <v>204</v>
      </c>
      <c r="B391" s="67" t="s">
        <v>251</v>
      </c>
      <c r="C391" s="68" t="s">
        <v>70</v>
      </c>
      <c r="D391" s="12">
        <v>15</v>
      </c>
      <c r="E391" s="12">
        <v>263.56</v>
      </c>
      <c r="F391" s="69">
        <f t="shared" ref="F391:F396" si="287">D391*E391</f>
        <v>3953.4</v>
      </c>
      <c r="G391" s="69">
        <v>400</v>
      </c>
      <c r="H391" s="145"/>
      <c r="I391" s="69">
        <f t="shared" ref="I391:I396" si="288">VLOOKUP($F$396,Tabisr,1)</f>
        <v>2422.81</v>
      </c>
      <c r="J391" s="70">
        <f t="shared" ref="J391:J392" si="289">+F391-I391</f>
        <v>1530.5900000000001</v>
      </c>
      <c r="K391" s="71">
        <f t="shared" ref="K391:K396" si="290">VLOOKUP($F$396,Tabisr,4)</f>
        <v>0.10879999999999999</v>
      </c>
      <c r="L391" s="69">
        <f>(F391-3651.01)*16%</f>
        <v>48.382399999999983</v>
      </c>
      <c r="M391" s="69">
        <v>293.25</v>
      </c>
      <c r="N391" s="69">
        <f t="shared" ref="N391:N396" si="291">L391+M391</f>
        <v>341.63239999999996</v>
      </c>
      <c r="O391" s="145"/>
      <c r="P391" s="145"/>
      <c r="Q391" s="145"/>
      <c r="R391" s="145"/>
      <c r="S391" s="145"/>
      <c r="T391" s="70">
        <f t="shared" ref="T391:T396" si="292">F391+G391+H391-N391+O391-P391-Q391-R391-S391</f>
        <v>4011.7675999999997</v>
      </c>
      <c r="U391" s="70">
        <f t="shared" ref="U391:U396" si="293">T391-G391</f>
        <v>3611.7675999999997</v>
      </c>
    </row>
    <row r="392" spans="1:22" s="72" customFormat="1" x14ac:dyDescent="0.25">
      <c r="A392" s="33">
        <v>205</v>
      </c>
      <c r="B392" s="67" t="s">
        <v>274</v>
      </c>
      <c r="C392" s="68" t="s">
        <v>90</v>
      </c>
      <c r="D392" s="12">
        <v>15</v>
      </c>
      <c r="E392" s="12">
        <v>161.86000000000001</v>
      </c>
      <c r="F392" s="69">
        <f t="shared" si="287"/>
        <v>2427.9</v>
      </c>
      <c r="G392" s="69">
        <v>400</v>
      </c>
      <c r="H392" s="33"/>
      <c r="I392" s="69">
        <f t="shared" si="288"/>
        <v>2422.81</v>
      </c>
      <c r="J392" s="70">
        <f t="shared" si="289"/>
        <v>5.0900000000001455</v>
      </c>
      <c r="K392" s="71">
        <f t="shared" si="290"/>
        <v>0.10879999999999999</v>
      </c>
      <c r="L392" s="69">
        <f>(F392-2077.51)*10.88%</f>
        <v>38.122431999999989</v>
      </c>
      <c r="M392" s="69">
        <v>121.95</v>
      </c>
      <c r="N392" s="69">
        <f t="shared" si="291"/>
        <v>160.07243199999999</v>
      </c>
      <c r="O392" s="69">
        <f>VLOOKUP($F$375,Tabsub,3)</f>
        <v>125.1</v>
      </c>
      <c r="P392" s="69"/>
      <c r="Q392" s="69"/>
      <c r="R392" s="69"/>
      <c r="S392" s="69"/>
      <c r="T392" s="70">
        <f t="shared" si="292"/>
        <v>2792.9275680000001</v>
      </c>
      <c r="U392" s="70">
        <f t="shared" si="293"/>
        <v>2392.9275680000001</v>
      </c>
    </row>
    <row r="393" spans="1:22" s="72" customFormat="1" x14ac:dyDescent="0.25">
      <c r="A393" s="40">
        <v>206</v>
      </c>
      <c r="B393" s="67" t="s">
        <v>279</v>
      </c>
      <c r="C393" s="68" t="s">
        <v>280</v>
      </c>
      <c r="D393" s="12">
        <v>15</v>
      </c>
      <c r="E393" s="12">
        <v>207.03</v>
      </c>
      <c r="F393" s="69">
        <f t="shared" si="287"/>
        <v>3105.45</v>
      </c>
      <c r="G393" s="69">
        <v>400</v>
      </c>
      <c r="H393" s="33"/>
      <c r="I393" s="69">
        <f t="shared" si="288"/>
        <v>2422.81</v>
      </c>
      <c r="J393" s="70">
        <f>+F393-I393</f>
        <v>682.63999999999987</v>
      </c>
      <c r="K393" s="71">
        <f t="shared" si="290"/>
        <v>0.10879999999999999</v>
      </c>
      <c r="L393" s="69">
        <f>(F393-2077.51)*10.88%+29.4</f>
        <v>141.23987199999996</v>
      </c>
      <c r="M393" s="69">
        <v>121.95</v>
      </c>
      <c r="N393" s="69">
        <f t="shared" si="291"/>
        <v>263.18987199999998</v>
      </c>
      <c r="O393" s="69">
        <f>VLOOKUP($F$375,Tabsub,3)</f>
        <v>125.1</v>
      </c>
      <c r="P393" s="69"/>
      <c r="Q393" s="69"/>
      <c r="R393" s="69"/>
      <c r="S393" s="69"/>
      <c r="T393" s="70">
        <f t="shared" si="292"/>
        <v>3367.3601279999998</v>
      </c>
      <c r="U393" s="70">
        <f t="shared" si="293"/>
        <v>2967.3601279999998</v>
      </c>
    </row>
    <row r="394" spans="1:22" s="72" customFormat="1" x14ac:dyDescent="0.25">
      <c r="A394" s="40">
        <v>208</v>
      </c>
      <c r="B394" s="67" t="s">
        <v>343</v>
      </c>
      <c r="C394" s="68" t="s">
        <v>187</v>
      </c>
      <c r="D394" s="12">
        <v>15</v>
      </c>
      <c r="E394" s="12">
        <v>207.03</v>
      </c>
      <c r="F394" s="69">
        <f t="shared" si="287"/>
        <v>3105.45</v>
      </c>
      <c r="G394" s="69">
        <v>400</v>
      </c>
      <c r="H394" s="33"/>
      <c r="I394" s="69">
        <f t="shared" si="288"/>
        <v>2422.81</v>
      </c>
      <c r="J394" s="70">
        <f>+F394-I394</f>
        <v>682.63999999999987</v>
      </c>
      <c r="K394" s="71">
        <f t="shared" si="290"/>
        <v>0.10879999999999999</v>
      </c>
      <c r="L394" s="69">
        <f>(F394-2077.51)*10.88%+29.4</f>
        <v>141.23987199999996</v>
      </c>
      <c r="M394" s="69">
        <v>121.95</v>
      </c>
      <c r="N394" s="69">
        <f t="shared" si="291"/>
        <v>263.18987199999998</v>
      </c>
      <c r="O394" s="69">
        <f>VLOOKUP($F$375,Tabsub,3)</f>
        <v>125.1</v>
      </c>
      <c r="P394" s="69"/>
      <c r="Q394" s="69"/>
      <c r="R394" s="69"/>
      <c r="S394" s="69"/>
      <c r="T394" s="70">
        <f t="shared" si="292"/>
        <v>3367.3601279999998</v>
      </c>
      <c r="U394" s="70">
        <f t="shared" si="293"/>
        <v>2967.3601279999998</v>
      </c>
    </row>
    <row r="395" spans="1:22" s="72" customFormat="1" x14ac:dyDescent="0.25">
      <c r="A395" s="33">
        <v>207</v>
      </c>
      <c r="B395" s="67" t="s">
        <v>449</v>
      </c>
      <c r="C395" s="67" t="s">
        <v>129</v>
      </c>
      <c r="D395" s="12">
        <v>15</v>
      </c>
      <c r="E395" s="12">
        <v>207.03</v>
      </c>
      <c r="F395" s="69">
        <f t="shared" ref="F395" si="294">D395*E395</f>
        <v>3105.45</v>
      </c>
      <c r="G395" s="69">
        <v>400</v>
      </c>
      <c r="H395" s="33"/>
      <c r="I395" s="69">
        <f t="shared" si="288"/>
        <v>2422.81</v>
      </c>
      <c r="J395" s="70">
        <f>+F395-I395</f>
        <v>682.63999999999987</v>
      </c>
      <c r="K395" s="71">
        <f t="shared" si="290"/>
        <v>0.10879999999999999</v>
      </c>
      <c r="L395" s="69">
        <f>(F395-2077.51)*10.88%+29.4</f>
        <v>141.23987199999996</v>
      </c>
      <c r="M395" s="69">
        <v>121.95</v>
      </c>
      <c r="N395" s="69">
        <f t="shared" ref="N395" si="295">L395+M395</f>
        <v>263.18987199999998</v>
      </c>
      <c r="O395" s="69">
        <f>VLOOKUP($F$375,Tabsub,3)</f>
        <v>125.1</v>
      </c>
      <c r="P395" s="69"/>
      <c r="Q395" s="69"/>
      <c r="R395" s="69"/>
      <c r="S395" s="69"/>
      <c r="T395" s="70">
        <f t="shared" ref="T395" si="296">F395+G395+H395-N395+O395-P395-Q395-R395-S395</f>
        <v>3367.3601279999998</v>
      </c>
      <c r="U395" s="70">
        <f t="shared" si="293"/>
        <v>2967.3601279999998</v>
      </c>
    </row>
    <row r="396" spans="1:22" s="72" customFormat="1" x14ac:dyDescent="0.25">
      <c r="A396" s="33">
        <v>254</v>
      </c>
      <c r="B396" s="67" t="s">
        <v>353</v>
      </c>
      <c r="C396" s="67" t="s">
        <v>354</v>
      </c>
      <c r="D396" s="12">
        <v>15</v>
      </c>
      <c r="E396" s="12">
        <v>207.03</v>
      </c>
      <c r="F396" s="69">
        <f t="shared" si="287"/>
        <v>3105.45</v>
      </c>
      <c r="G396" s="69">
        <v>400</v>
      </c>
      <c r="H396" s="33"/>
      <c r="I396" s="69">
        <f t="shared" si="288"/>
        <v>2422.81</v>
      </c>
      <c r="J396" s="70">
        <f>+F396-I396</f>
        <v>682.63999999999987</v>
      </c>
      <c r="K396" s="71">
        <f t="shared" si="290"/>
        <v>0.10879999999999999</v>
      </c>
      <c r="L396" s="69">
        <f>(F396-2077.51)*10.88%+29.4</f>
        <v>141.23987199999996</v>
      </c>
      <c r="M396" s="69">
        <v>121.95</v>
      </c>
      <c r="N396" s="69">
        <f t="shared" si="291"/>
        <v>263.18987199999998</v>
      </c>
      <c r="O396" s="69">
        <f>VLOOKUP($F$375,Tabsub,3)</f>
        <v>125.1</v>
      </c>
      <c r="P396" s="69"/>
      <c r="Q396" s="69"/>
      <c r="R396" s="69"/>
      <c r="S396" s="69"/>
      <c r="T396" s="70">
        <f t="shared" si="292"/>
        <v>3367.3601279999998</v>
      </c>
      <c r="U396" s="70">
        <f t="shared" si="293"/>
        <v>2967.3601279999998</v>
      </c>
    </row>
    <row r="397" spans="1:22" s="72" customFormat="1" x14ac:dyDescent="0.25">
      <c r="A397" s="39"/>
      <c r="B397" s="63"/>
      <c r="C397" s="73"/>
      <c r="D397" s="13"/>
      <c r="E397" s="13"/>
      <c r="F397" s="74">
        <f>+SUM(F390:F396)</f>
        <v>23487</v>
      </c>
      <c r="G397" s="74">
        <f>+SUM(G390:G396)</f>
        <v>2800</v>
      </c>
      <c r="H397" s="74">
        <f t="shared" ref="H397:S397" si="297">+SUM(H390:H396)</f>
        <v>0</v>
      </c>
      <c r="I397" s="74">
        <f t="shared" si="297"/>
        <v>20462.77</v>
      </c>
      <c r="J397" s="74">
        <f t="shared" si="297"/>
        <v>3024.2299999999996</v>
      </c>
      <c r="K397" s="74">
        <f t="shared" si="297"/>
        <v>0.86640000000000006</v>
      </c>
      <c r="L397" s="74">
        <f t="shared" si="297"/>
        <v>730.29260799999986</v>
      </c>
      <c r="M397" s="74">
        <f t="shared" si="297"/>
        <v>1291.0500000000002</v>
      </c>
      <c r="N397" s="74">
        <f>+SUM(N390:N396)</f>
        <v>2021.3426079999995</v>
      </c>
      <c r="O397" s="74">
        <f>+SUM(O390:O396)</f>
        <v>625.5</v>
      </c>
      <c r="P397" s="74">
        <f t="shared" si="297"/>
        <v>0</v>
      </c>
      <c r="Q397" s="74">
        <f t="shared" si="297"/>
        <v>0</v>
      </c>
      <c r="R397" s="74">
        <f t="shared" si="297"/>
        <v>0</v>
      </c>
      <c r="S397" s="74">
        <f t="shared" si="297"/>
        <v>0</v>
      </c>
      <c r="T397" s="74">
        <f>+SUM(T390:T396)</f>
        <v>24891.157392000001</v>
      </c>
      <c r="U397" s="74">
        <f>+SUM(U390:U396)</f>
        <v>22091.157392000001</v>
      </c>
    </row>
    <row r="398" spans="1:22" s="72" customFormat="1" x14ac:dyDescent="0.25">
      <c r="A398" s="39"/>
      <c r="B398" s="63"/>
      <c r="C398" s="73"/>
      <c r="D398" s="13"/>
      <c r="E398" s="13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</row>
    <row r="399" spans="1:22" s="72" customFormat="1" x14ac:dyDescent="0.25">
      <c r="A399" s="192" t="s">
        <v>284</v>
      </c>
      <c r="B399" s="193"/>
      <c r="C399" s="193"/>
      <c r="D399" s="193"/>
      <c r="E399" s="193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4"/>
    </row>
    <row r="400" spans="1:22" s="72" customFormat="1" ht="24" x14ac:dyDescent="0.25">
      <c r="A400" s="32" t="s">
        <v>57</v>
      </c>
      <c r="B400" s="32" t="s">
        <v>13</v>
      </c>
      <c r="C400" s="32" t="s">
        <v>68</v>
      </c>
      <c r="D400" s="32" t="s">
        <v>21</v>
      </c>
      <c r="E400" s="32" t="s">
        <v>15</v>
      </c>
      <c r="F400" s="32" t="s">
        <v>14</v>
      </c>
      <c r="G400" s="32" t="s">
        <v>54</v>
      </c>
      <c r="H400" s="32" t="s">
        <v>60</v>
      </c>
      <c r="I400" s="49" t="s">
        <v>160</v>
      </c>
      <c r="J400" s="49" t="s">
        <v>161</v>
      </c>
      <c r="K400" s="49" t="s">
        <v>162</v>
      </c>
      <c r="L400" s="49" t="s">
        <v>163</v>
      </c>
      <c r="M400" s="32" t="s">
        <v>164</v>
      </c>
      <c r="N400" s="32" t="s">
        <v>55</v>
      </c>
      <c r="O400" s="32" t="s">
        <v>56</v>
      </c>
      <c r="P400" s="32" t="s">
        <v>16</v>
      </c>
      <c r="Q400" s="32" t="s">
        <v>242</v>
      </c>
      <c r="R400" s="32" t="s">
        <v>59</v>
      </c>
      <c r="S400" s="32" t="s">
        <v>66</v>
      </c>
      <c r="T400" s="32" t="s">
        <v>64</v>
      </c>
      <c r="U400" s="32" t="s">
        <v>65</v>
      </c>
    </row>
    <row r="401" spans="1:22" s="72" customFormat="1" x14ac:dyDescent="0.25">
      <c r="A401" s="33">
        <v>208</v>
      </c>
      <c r="B401" s="67" t="s">
        <v>22</v>
      </c>
      <c r="C401" s="68" t="s">
        <v>178</v>
      </c>
      <c r="D401" s="33">
        <v>15</v>
      </c>
      <c r="E401" s="69">
        <v>414.83</v>
      </c>
      <c r="F401" s="69">
        <f t="shared" ref="F401:F402" si="298">D401*E401</f>
        <v>6222.45</v>
      </c>
      <c r="G401" s="69">
        <v>400</v>
      </c>
      <c r="H401" s="153"/>
      <c r="I401" s="69">
        <f>VLOOKUP($F$71,Tabisr,1)</f>
        <v>5925.91</v>
      </c>
      <c r="J401" s="147">
        <f>+F401-I401</f>
        <v>296.53999999999996</v>
      </c>
      <c r="K401" s="148">
        <f>VLOOKUP($F$71,Tabisr,4)</f>
        <v>0.21360000000000001</v>
      </c>
      <c r="L401" s="69">
        <f>(F401-4244.01)*17.92%</f>
        <v>354.53644800000001</v>
      </c>
      <c r="M401" s="69">
        <v>389.05</v>
      </c>
      <c r="N401" s="69">
        <v>690.94</v>
      </c>
      <c r="O401" s="69">
        <f>VLOOKUP($F$71,Tabsub,3)</f>
        <v>0</v>
      </c>
      <c r="P401" s="69"/>
      <c r="Q401" s="69"/>
      <c r="R401" s="69"/>
      <c r="S401" s="69"/>
      <c r="T401" s="147">
        <f t="shared" ref="T401:T402" si="299">F401+G401+H401-N401+O401-P401-Q401-R401-S401</f>
        <v>5931.51</v>
      </c>
      <c r="U401" s="147">
        <f t="shared" ref="U401:U402" si="300">T401-G401</f>
        <v>5531.51</v>
      </c>
    </row>
    <row r="402" spans="1:22" s="72" customFormat="1" x14ac:dyDescent="0.25">
      <c r="A402" s="34">
        <v>209</v>
      </c>
      <c r="B402" s="67" t="s">
        <v>221</v>
      </c>
      <c r="C402" s="84" t="s">
        <v>178</v>
      </c>
      <c r="D402" s="33">
        <v>15</v>
      </c>
      <c r="E402" s="69">
        <v>414.83</v>
      </c>
      <c r="F402" s="69">
        <f t="shared" si="298"/>
        <v>6222.45</v>
      </c>
      <c r="G402" s="69">
        <v>400</v>
      </c>
      <c r="H402" s="153"/>
      <c r="I402" s="69">
        <f>VLOOKUP($F$71,Tabisr,1)</f>
        <v>5925.91</v>
      </c>
      <c r="J402" s="147">
        <f>+F402-I402</f>
        <v>296.53999999999996</v>
      </c>
      <c r="K402" s="148">
        <f>VLOOKUP($F$71,Tabisr,4)</f>
        <v>0.21360000000000001</v>
      </c>
      <c r="L402" s="69">
        <f>(F402-4244.01)*17.92%</f>
        <v>354.53644800000001</v>
      </c>
      <c r="M402" s="69">
        <v>389.05</v>
      </c>
      <c r="N402" s="69">
        <v>690.94</v>
      </c>
      <c r="O402" s="69">
        <f>VLOOKUP($F$71,Tabsub,3)</f>
        <v>0</v>
      </c>
      <c r="P402" s="69"/>
      <c r="Q402" s="247">
        <v>1150</v>
      </c>
      <c r="R402" s="69"/>
      <c r="S402" s="69"/>
      <c r="T402" s="147">
        <f t="shared" si="299"/>
        <v>4781.51</v>
      </c>
      <c r="U402" s="147">
        <f t="shared" si="300"/>
        <v>4381.51</v>
      </c>
    </row>
    <row r="403" spans="1:22" s="72" customFormat="1" x14ac:dyDescent="0.25">
      <c r="A403" s="39"/>
      <c r="B403" s="63"/>
      <c r="C403" s="73"/>
      <c r="D403" s="13"/>
      <c r="E403" s="13"/>
      <c r="F403" s="74">
        <f>SUM(F401:F402)</f>
        <v>12444.9</v>
      </c>
      <c r="G403" s="74">
        <f>SUM(G401:G402)</f>
        <v>800</v>
      </c>
      <c r="H403" s="74">
        <f t="shared" ref="H403:S403" si="301">SUM(H401:H402)</f>
        <v>0</v>
      </c>
      <c r="I403" s="74">
        <f t="shared" si="301"/>
        <v>11851.82</v>
      </c>
      <c r="J403" s="74">
        <f t="shared" si="301"/>
        <v>593.07999999999993</v>
      </c>
      <c r="K403" s="74">
        <f t="shared" si="301"/>
        <v>0.42720000000000002</v>
      </c>
      <c r="L403" s="74">
        <f t="shared" si="301"/>
        <v>709.07289600000001</v>
      </c>
      <c r="M403" s="74">
        <f t="shared" si="301"/>
        <v>778.1</v>
      </c>
      <c r="N403" s="74">
        <f>SUM(N401:N402)</f>
        <v>1381.88</v>
      </c>
      <c r="O403" s="74">
        <f t="shared" si="301"/>
        <v>0</v>
      </c>
      <c r="P403" s="74">
        <f t="shared" si="301"/>
        <v>0</v>
      </c>
      <c r="Q403" s="74">
        <f>SUM(Q401:Q402)</f>
        <v>1150</v>
      </c>
      <c r="R403" s="74">
        <f t="shared" si="301"/>
        <v>0</v>
      </c>
      <c r="S403" s="74">
        <f t="shared" si="301"/>
        <v>0</v>
      </c>
      <c r="T403" s="74">
        <f>SUM(T401:T402)</f>
        <v>10713.02</v>
      </c>
      <c r="U403" s="74">
        <f>SUM(U401:U402)</f>
        <v>9913.02</v>
      </c>
    </row>
    <row r="404" spans="1:22" s="72" customFormat="1" x14ac:dyDescent="0.25">
      <c r="A404" s="39"/>
      <c r="B404" s="63"/>
      <c r="C404" s="73"/>
      <c r="D404" s="13"/>
      <c r="E404" s="13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</row>
    <row r="405" spans="1:22" s="72" customFormat="1" x14ac:dyDescent="0.25">
      <c r="A405" s="192" t="s">
        <v>294</v>
      </c>
      <c r="B405" s="193"/>
      <c r="C405" s="193"/>
      <c r="D405" s="193"/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</row>
    <row r="406" spans="1:22" s="72" customFormat="1" ht="24" x14ac:dyDescent="0.25">
      <c r="A406" s="32" t="s">
        <v>57</v>
      </c>
      <c r="B406" s="32" t="s">
        <v>13</v>
      </c>
      <c r="C406" s="32" t="s">
        <v>68</v>
      </c>
      <c r="D406" s="32" t="s">
        <v>21</v>
      </c>
      <c r="E406" s="32" t="s">
        <v>15</v>
      </c>
      <c r="F406" s="32" t="s">
        <v>14</v>
      </c>
      <c r="G406" s="32" t="s">
        <v>54</v>
      </c>
      <c r="H406" s="32" t="s">
        <v>60</v>
      </c>
      <c r="I406" s="49" t="s">
        <v>160</v>
      </c>
      <c r="J406" s="49" t="s">
        <v>161</v>
      </c>
      <c r="K406" s="49" t="s">
        <v>162</v>
      </c>
      <c r="L406" s="49" t="s">
        <v>163</v>
      </c>
      <c r="M406" s="32" t="s">
        <v>164</v>
      </c>
      <c r="N406" s="32" t="s">
        <v>55</v>
      </c>
      <c r="O406" s="32" t="s">
        <v>56</v>
      </c>
      <c r="P406" s="32" t="s">
        <v>16</v>
      </c>
      <c r="Q406" s="32" t="s">
        <v>242</v>
      </c>
      <c r="R406" s="32" t="s">
        <v>59</v>
      </c>
      <c r="S406" s="32" t="s">
        <v>66</v>
      </c>
      <c r="T406" s="32" t="s">
        <v>64</v>
      </c>
      <c r="U406" s="32" t="s">
        <v>65</v>
      </c>
      <c r="V406" s="77"/>
    </row>
    <row r="407" spans="1:22" s="72" customFormat="1" x14ac:dyDescent="0.25">
      <c r="A407" s="40">
        <v>210</v>
      </c>
      <c r="B407" s="67" t="s">
        <v>52</v>
      </c>
      <c r="C407" s="67" t="s">
        <v>477</v>
      </c>
      <c r="D407" s="40">
        <v>15</v>
      </c>
      <c r="E407" s="94">
        <v>661.33</v>
      </c>
      <c r="F407" s="95">
        <f>D407*E407</f>
        <v>9919.9500000000007</v>
      </c>
      <c r="G407" s="95"/>
      <c r="H407" s="95"/>
      <c r="I407" s="69">
        <f>VLOOKUP($F$230,Tabisr,1)</f>
        <v>5925.91</v>
      </c>
      <c r="J407" s="70">
        <f>+F407-I407</f>
        <v>3994.0400000000009</v>
      </c>
      <c r="K407" s="71">
        <f>VLOOKUP($F$230,Tabisr,4)</f>
        <v>0.21360000000000001</v>
      </c>
      <c r="L407" s="69">
        <f>(F407-5081.01)*21.36%</f>
        <v>1033.5975840000001</v>
      </c>
      <c r="M407" s="69">
        <v>538.20000000000005</v>
      </c>
      <c r="N407" s="69">
        <f>N313</f>
        <v>1571.7975840000001</v>
      </c>
      <c r="O407" s="95"/>
      <c r="P407" s="95"/>
      <c r="Q407" s="247">
        <v>1370</v>
      </c>
      <c r="R407" s="69"/>
      <c r="S407" s="69"/>
      <c r="T407" s="69">
        <f t="shared" ref="T407:T422" si="302">F407+G407+H407-N407+O407-P407-Q407-R407-S407</f>
        <v>6978.1524160000008</v>
      </c>
      <c r="U407" s="69">
        <f t="shared" ref="U407:U434" si="303">T407-G407</f>
        <v>6978.1524160000008</v>
      </c>
      <c r="V407" s="105"/>
    </row>
    <row r="408" spans="1:22" s="72" customFormat="1" ht="24" x14ac:dyDescent="0.25">
      <c r="A408" s="40">
        <v>288</v>
      </c>
      <c r="B408" s="67" t="s">
        <v>123</v>
      </c>
      <c r="C408" s="67" t="s">
        <v>438</v>
      </c>
      <c r="D408" s="40">
        <v>15</v>
      </c>
      <c r="E408" s="94">
        <v>546.1</v>
      </c>
      <c r="F408" s="95">
        <f>D408*E408</f>
        <v>8191.5</v>
      </c>
      <c r="G408" s="95"/>
      <c r="H408" s="95"/>
      <c r="I408" s="69">
        <f>VLOOKUP($F$230,Tabisr,1)</f>
        <v>5925.91</v>
      </c>
      <c r="J408" s="70">
        <f>+F408-I408</f>
        <v>2265.59</v>
      </c>
      <c r="K408" s="71">
        <f>VLOOKUP($F$230,Tabisr,4)</f>
        <v>0.21360000000000001</v>
      </c>
      <c r="L408" s="69">
        <f>(F408-5081.01)*21.36%</f>
        <v>664.40066399999989</v>
      </c>
      <c r="M408" s="69">
        <v>539.20000000000005</v>
      </c>
      <c r="N408" s="69">
        <f>N314</f>
        <v>690.94</v>
      </c>
      <c r="O408" s="95"/>
      <c r="P408" s="259">
        <v>1200</v>
      </c>
      <c r="Q408" s="246"/>
      <c r="R408" s="246"/>
      <c r="S408" s="69"/>
      <c r="T408" s="69">
        <f t="shared" ref="T408" si="304">F408+G408+H408-N408+O408-P408-Q408-R408-S408</f>
        <v>6300.5599999999995</v>
      </c>
      <c r="U408" s="69">
        <f t="shared" ref="U408" si="305">T408-G408</f>
        <v>6300.5599999999995</v>
      </c>
      <c r="V408" s="105"/>
    </row>
    <row r="409" spans="1:22" s="72" customFormat="1" x14ac:dyDescent="0.25">
      <c r="A409" s="42">
        <v>252</v>
      </c>
      <c r="B409" s="67" t="s">
        <v>296</v>
      </c>
      <c r="C409" s="67" t="s">
        <v>76</v>
      </c>
      <c r="D409" s="40">
        <v>15</v>
      </c>
      <c r="E409" s="94">
        <v>317.87</v>
      </c>
      <c r="F409" s="95">
        <f>D409*E409</f>
        <v>4768.05</v>
      </c>
      <c r="G409" s="95">
        <v>400</v>
      </c>
      <c r="H409" s="100"/>
      <c r="I409" s="69">
        <f>VLOOKUP($F$371,Tabisr,1)</f>
        <v>4257.91</v>
      </c>
      <c r="J409" s="70">
        <f>+F409-I409</f>
        <v>510.14000000000033</v>
      </c>
      <c r="K409" s="71">
        <f>VLOOKUP($F$371,Tabisr,4)</f>
        <v>0.16</v>
      </c>
      <c r="L409" s="69">
        <f>(F409-4244.01)*17.92%</f>
        <v>93.907968000000011</v>
      </c>
      <c r="M409" s="69">
        <v>388.05</v>
      </c>
      <c r="N409" s="69">
        <f>L409+M409</f>
        <v>481.95796800000005</v>
      </c>
      <c r="O409" s="95"/>
      <c r="P409" s="259"/>
      <c r="Q409" s="246"/>
      <c r="R409" s="246"/>
      <c r="S409" s="69"/>
      <c r="T409" s="85">
        <f t="shared" si="302"/>
        <v>4686.0920320000005</v>
      </c>
      <c r="U409" s="85">
        <f t="shared" si="303"/>
        <v>4286.0920320000005</v>
      </c>
      <c r="V409" s="77"/>
    </row>
    <row r="410" spans="1:22" s="72" customFormat="1" x14ac:dyDescent="0.25">
      <c r="A410" s="42">
        <v>214</v>
      </c>
      <c r="B410" s="67" t="s">
        <v>266</v>
      </c>
      <c r="C410" s="67" t="s">
        <v>238</v>
      </c>
      <c r="D410" s="40">
        <v>15</v>
      </c>
      <c r="E410" s="94">
        <v>401.66</v>
      </c>
      <c r="F410" s="95">
        <f t="shared" ref="F410" si="306">D410*E410</f>
        <v>6024.9000000000005</v>
      </c>
      <c r="G410" s="95">
        <v>400</v>
      </c>
      <c r="H410" s="100">
        <v>600</v>
      </c>
      <c r="I410" s="69">
        <f>VLOOKUP($F$230,Tabisr,1)</f>
        <v>5925.91</v>
      </c>
      <c r="J410" s="70">
        <f>+F410-I410</f>
        <v>98.990000000000691</v>
      </c>
      <c r="K410" s="71" t="e">
        <f>VLOOKUP($F$216,Tabisr,4)</f>
        <v>#N/A</v>
      </c>
      <c r="L410" s="85" t="e">
        <f>+J410*K410</f>
        <v>#N/A</v>
      </c>
      <c r="M410" s="69" t="e">
        <f>VLOOKUP($F$216,Tabisr,3)</f>
        <v>#N/A</v>
      </c>
      <c r="N410" s="95">
        <v>673.07</v>
      </c>
      <c r="O410" s="100"/>
      <c r="P410" s="260">
        <v>1000</v>
      </c>
      <c r="Q410" s="253"/>
      <c r="R410" s="253"/>
      <c r="S410" s="85"/>
      <c r="T410" s="85">
        <f t="shared" si="302"/>
        <v>5351.8300000000008</v>
      </c>
      <c r="U410" s="85">
        <f t="shared" si="303"/>
        <v>4951.8300000000008</v>
      </c>
      <c r="V410" s="77"/>
    </row>
    <row r="411" spans="1:22" s="72" customFormat="1" x14ac:dyDescent="0.25">
      <c r="A411" s="42">
        <v>215</v>
      </c>
      <c r="B411" s="67" t="s">
        <v>176</v>
      </c>
      <c r="C411" s="67" t="s">
        <v>439</v>
      </c>
      <c r="D411" s="40">
        <v>15</v>
      </c>
      <c r="E411" s="94">
        <v>478.25</v>
      </c>
      <c r="F411" s="95">
        <f t="shared" ref="F411:F445" si="307">D411*E411</f>
        <v>7173.75</v>
      </c>
      <c r="G411" s="95">
        <v>400</v>
      </c>
      <c r="H411" s="100">
        <v>600</v>
      </c>
      <c r="I411" s="69">
        <f>VLOOKUP($F$230,Tabisr,1)</f>
        <v>5925.91</v>
      </c>
      <c r="J411" s="70">
        <f>+F411-I411</f>
        <v>1247.8400000000001</v>
      </c>
      <c r="K411" s="71" t="e">
        <f>VLOOKUP($F$216,Tabisr,4)</f>
        <v>#N/A</v>
      </c>
      <c r="L411" s="85" t="e">
        <f>+J411*K411</f>
        <v>#N/A</v>
      </c>
      <c r="M411" s="69" t="e">
        <f>VLOOKUP($F$216,Tabisr,3)</f>
        <v>#N/A</v>
      </c>
      <c r="N411" s="95">
        <v>673.07</v>
      </c>
      <c r="O411" s="100"/>
      <c r="P411" s="260">
        <v>2350</v>
      </c>
      <c r="Q411" s="253"/>
      <c r="R411" s="253"/>
      <c r="S411" s="85"/>
      <c r="T411" s="85">
        <f t="shared" si="302"/>
        <v>5150.68</v>
      </c>
      <c r="U411" s="85">
        <f t="shared" si="303"/>
        <v>4750.68</v>
      </c>
      <c r="V411" s="77"/>
    </row>
    <row r="412" spans="1:22" s="72" customFormat="1" x14ac:dyDescent="0.25">
      <c r="A412" s="38"/>
      <c r="B412" s="161" t="s">
        <v>244</v>
      </c>
      <c r="C412" s="57" t="s">
        <v>238</v>
      </c>
      <c r="D412" s="38"/>
      <c r="E412" s="117"/>
      <c r="F412" s="118"/>
      <c r="G412" s="118"/>
      <c r="H412" s="118"/>
      <c r="I412" s="59"/>
      <c r="J412" s="61"/>
      <c r="K412" s="62"/>
      <c r="L412" s="59"/>
      <c r="M412" s="59"/>
      <c r="N412" s="118"/>
      <c r="O412" s="118"/>
      <c r="P412" s="261"/>
      <c r="Q412" s="254"/>
      <c r="R412" s="254"/>
      <c r="S412" s="59"/>
      <c r="T412" s="59"/>
      <c r="U412" s="59"/>
    </row>
    <row r="413" spans="1:22" x14ac:dyDescent="0.25">
      <c r="A413" s="168">
        <v>266</v>
      </c>
      <c r="B413" s="78" t="s">
        <v>463</v>
      </c>
      <c r="C413" s="78" t="s">
        <v>76</v>
      </c>
      <c r="D413" s="168">
        <v>15</v>
      </c>
      <c r="E413" s="94">
        <v>401.66</v>
      </c>
      <c r="F413" s="169">
        <f t="shared" ref="F413" si="308">D413*E413</f>
        <v>6024.9000000000005</v>
      </c>
      <c r="G413" s="169">
        <v>400</v>
      </c>
      <c r="H413" s="169"/>
      <c r="I413" s="69">
        <f>VLOOKUP($F$215,Tabisr,1)</f>
        <v>2422.81</v>
      </c>
      <c r="J413" s="147">
        <f t="shared" ref="J413" si="309">+F413-I413</f>
        <v>3602.0900000000006</v>
      </c>
      <c r="K413" s="148">
        <f>VLOOKUP($F$215,Tabisr,4)</f>
        <v>0.10879999999999999</v>
      </c>
      <c r="L413" s="69">
        <f t="shared" ref="L413" si="310">(F413-5081.01)*21.36%</f>
        <v>201.61490400000005</v>
      </c>
      <c r="M413" s="69">
        <v>542.20000000000005</v>
      </c>
      <c r="N413" s="169">
        <v>673.07</v>
      </c>
      <c r="O413" s="169"/>
      <c r="P413" s="262"/>
      <c r="Q413" s="246"/>
      <c r="R413" s="246"/>
      <c r="S413" s="69"/>
      <c r="T413" s="69">
        <f t="shared" ref="T413" si="311">F413+G413+H413-N413+O413-P413-Q413-R413-S413</f>
        <v>5751.8300000000008</v>
      </c>
      <c r="U413" s="69">
        <f t="shared" ref="U413" si="312">T413-G413</f>
        <v>5351.8300000000008</v>
      </c>
    </row>
    <row r="414" spans="1:22" s="72" customFormat="1" x14ac:dyDescent="0.25">
      <c r="A414" s="33">
        <v>253</v>
      </c>
      <c r="B414" s="116" t="s">
        <v>388</v>
      </c>
      <c r="C414" s="116" t="s">
        <v>76</v>
      </c>
      <c r="D414" s="168">
        <v>15</v>
      </c>
      <c r="E414" s="94">
        <v>317.87</v>
      </c>
      <c r="F414" s="95">
        <f>D414*E414</f>
        <v>4768.05</v>
      </c>
      <c r="G414" s="95">
        <v>400</v>
      </c>
      <c r="H414" s="95">
        <v>1800</v>
      </c>
      <c r="I414" s="69">
        <f t="shared" ref="I414:I422" si="313">VLOOKUP($F$371,Tabisr,1)</f>
        <v>4257.91</v>
      </c>
      <c r="J414" s="70">
        <f t="shared" ref="J414" si="314">+F414-I414</f>
        <v>510.14000000000033</v>
      </c>
      <c r="K414" s="71">
        <f t="shared" ref="K414:K422" si="315">VLOOKUP($F$371,Tabisr,4)</f>
        <v>0.16</v>
      </c>
      <c r="L414" s="69">
        <f t="shared" ref="L414" si="316">(F414-4244.01)*17.92%</f>
        <v>93.907968000000011</v>
      </c>
      <c r="M414" s="69">
        <v>389.05</v>
      </c>
      <c r="N414" s="69">
        <v>488.66</v>
      </c>
      <c r="O414" s="95"/>
      <c r="P414" s="259"/>
      <c r="Q414" s="246"/>
      <c r="R414" s="246"/>
      <c r="S414" s="69"/>
      <c r="T414" s="69">
        <f t="shared" ref="T414" si="317">F414+G414+H414-N414+O414-P414-Q414-R414-S414</f>
        <v>6479.39</v>
      </c>
      <c r="U414" s="69">
        <f t="shared" si="303"/>
        <v>6079.39</v>
      </c>
    </row>
    <row r="415" spans="1:22" s="72" customFormat="1" x14ac:dyDescent="0.25">
      <c r="A415" s="40">
        <v>220</v>
      </c>
      <c r="B415" s="67" t="s">
        <v>347</v>
      </c>
      <c r="C415" s="67" t="s">
        <v>76</v>
      </c>
      <c r="D415" s="168">
        <v>15</v>
      </c>
      <c r="E415" s="94">
        <v>317.87</v>
      </c>
      <c r="F415" s="95">
        <f>D415*E415</f>
        <v>4768.05</v>
      </c>
      <c r="G415" s="95">
        <v>400</v>
      </c>
      <c r="H415" s="100"/>
      <c r="I415" s="69">
        <f t="shared" si="313"/>
        <v>4257.91</v>
      </c>
      <c r="J415" s="70">
        <f t="shared" ref="J415:J445" si="318">+F415-I415</f>
        <v>510.14000000000033</v>
      </c>
      <c r="K415" s="71">
        <f t="shared" si="315"/>
        <v>0.16</v>
      </c>
      <c r="L415" s="69">
        <f t="shared" ref="L415:L445" si="319">(F415-4244.01)*17.92%</f>
        <v>93.907968000000011</v>
      </c>
      <c r="M415" s="69">
        <v>389.05</v>
      </c>
      <c r="N415" s="69">
        <v>488.66</v>
      </c>
      <c r="O415" s="100"/>
      <c r="P415" s="260">
        <v>1250</v>
      </c>
      <c r="Q415" s="253"/>
      <c r="R415" s="253"/>
      <c r="S415" s="85"/>
      <c r="T415" s="85">
        <f t="shared" si="302"/>
        <v>3429.3900000000003</v>
      </c>
      <c r="U415" s="85">
        <f t="shared" si="303"/>
        <v>3029.3900000000003</v>
      </c>
    </row>
    <row r="416" spans="1:22" s="72" customFormat="1" x14ac:dyDescent="0.25">
      <c r="A416" s="42">
        <v>240</v>
      </c>
      <c r="B416" s="67" t="s">
        <v>317</v>
      </c>
      <c r="C416" s="67" t="s">
        <v>76</v>
      </c>
      <c r="D416" s="168">
        <v>15</v>
      </c>
      <c r="E416" s="94">
        <v>317.87</v>
      </c>
      <c r="F416" s="95">
        <f>D416*E416</f>
        <v>4768.05</v>
      </c>
      <c r="G416" s="95">
        <v>400</v>
      </c>
      <c r="H416" s="100"/>
      <c r="I416" s="69">
        <f t="shared" si="313"/>
        <v>4257.91</v>
      </c>
      <c r="J416" s="70">
        <f t="shared" si="318"/>
        <v>510.14000000000033</v>
      </c>
      <c r="K416" s="71">
        <f t="shared" si="315"/>
        <v>0.16</v>
      </c>
      <c r="L416" s="69">
        <f t="shared" si="319"/>
        <v>93.907968000000011</v>
      </c>
      <c r="M416" s="69">
        <v>390.05</v>
      </c>
      <c r="N416" s="69">
        <v>488.66</v>
      </c>
      <c r="O416" s="95"/>
      <c r="P416" s="259"/>
      <c r="Q416" s="246"/>
      <c r="R416" s="246"/>
      <c r="S416" s="69"/>
      <c r="T416" s="85">
        <f t="shared" si="302"/>
        <v>4679.3900000000003</v>
      </c>
      <c r="U416" s="85">
        <f t="shared" si="303"/>
        <v>4279.3900000000003</v>
      </c>
    </row>
    <row r="417" spans="1:22" s="72" customFormat="1" x14ac:dyDescent="0.25">
      <c r="A417" s="42">
        <v>222</v>
      </c>
      <c r="B417" s="67" t="s">
        <v>48</v>
      </c>
      <c r="C417" s="79" t="s">
        <v>76</v>
      </c>
      <c r="D417" s="168">
        <v>15</v>
      </c>
      <c r="E417" s="99">
        <v>317.87</v>
      </c>
      <c r="F417" s="100">
        <f t="shared" si="307"/>
        <v>4768.05</v>
      </c>
      <c r="G417" s="95">
        <v>400</v>
      </c>
      <c r="H417" s="100"/>
      <c r="I417" s="69">
        <f t="shared" si="313"/>
        <v>4257.91</v>
      </c>
      <c r="J417" s="70">
        <f t="shared" si="318"/>
        <v>510.14000000000033</v>
      </c>
      <c r="K417" s="71">
        <f t="shared" si="315"/>
        <v>0.16</v>
      </c>
      <c r="L417" s="69">
        <f t="shared" si="319"/>
        <v>93.907968000000011</v>
      </c>
      <c r="M417" s="69">
        <v>391.05</v>
      </c>
      <c r="N417" s="69">
        <v>488.66</v>
      </c>
      <c r="O417" s="100"/>
      <c r="P417" s="260"/>
      <c r="Q417" s="253"/>
      <c r="R417" s="253"/>
      <c r="S417" s="85"/>
      <c r="T417" s="85">
        <f t="shared" si="302"/>
        <v>4679.3900000000003</v>
      </c>
      <c r="U417" s="85">
        <f t="shared" si="303"/>
        <v>4279.3900000000003</v>
      </c>
      <c r="V417" s="75"/>
    </row>
    <row r="418" spans="1:22" s="72" customFormat="1" x14ac:dyDescent="0.25">
      <c r="A418" s="40">
        <v>257</v>
      </c>
      <c r="B418" s="67" t="s">
        <v>358</v>
      </c>
      <c r="C418" s="67" t="s">
        <v>76</v>
      </c>
      <c r="D418" s="168">
        <v>15</v>
      </c>
      <c r="E418" s="94">
        <v>317.87</v>
      </c>
      <c r="F418" s="95">
        <f t="shared" si="307"/>
        <v>4768.05</v>
      </c>
      <c r="G418" s="95">
        <v>400</v>
      </c>
      <c r="H418" s="100"/>
      <c r="I418" s="69">
        <f t="shared" si="313"/>
        <v>4257.91</v>
      </c>
      <c r="J418" s="70">
        <f t="shared" si="318"/>
        <v>510.14000000000033</v>
      </c>
      <c r="K418" s="71">
        <f t="shared" si="315"/>
        <v>0.16</v>
      </c>
      <c r="L418" s="69">
        <f t="shared" si="319"/>
        <v>93.907968000000011</v>
      </c>
      <c r="M418" s="69">
        <v>392.05</v>
      </c>
      <c r="N418" s="69">
        <v>488.66</v>
      </c>
      <c r="O418" s="95"/>
      <c r="P418" s="259">
        <v>1750</v>
      </c>
      <c r="Q418" s="246"/>
      <c r="R418" s="246"/>
      <c r="S418" s="69"/>
      <c r="T418" s="85">
        <f t="shared" si="302"/>
        <v>2929.3900000000003</v>
      </c>
      <c r="U418" s="85">
        <f t="shared" si="303"/>
        <v>2529.3900000000003</v>
      </c>
    </row>
    <row r="419" spans="1:22" s="72" customFormat="1" x14ac:dyDescent="0.25">
      <c r="A419" s="40">
        <v>244</v>
      </c>
      <c r="B419" s="67" t="s">
        <v>350</v>
      </c>
      <c r="C419" s="67" t="s">
        <v>76</v>
      </c>
      <c r="D419" s="168">
        <v>15</v>
      </c>
      <c r="E419" s="94">
        <v>317.87</v>
      </c>
      <c r="F419" s="95">
        <f t="shared" ref="F419" si="320">D419*E419</f>
        <v>4768.05</v>
      </c>
      <c r="G419" s="95">
        <v>400</v>
      </c>
      <c r="H419" s="100"/>
      <c r="I419" s="69">
        <f t="shared" si="313"/>
        <v>4257.91</v>
      </c>
      <c r="J419" s="70">
        <f t="shared" si="318"/>
        <v>510.14000000000033</v>
      </c>
      <c r="K419" s="71">
        <f t="shared" si="315"/>
        <v>0.16</v>
      </c>
      <c r="L419" s="69">
        <f t="shared" si="319"/>
        <v>93.907968000000011</v>
      </c>
      <c r="M419" s="69">
        <v>393.05</v>
      </c>
      <c r="N419" s="69">
        <v>488.66</v>
      </c>
      <c r="O419" s="95"/>
      <c r="P419" s="259"/>
      <c r="Q419" s="247">
        <v>885</v>
      </c>
      <c r="R419" s="246"/>
      <c r="S419" s="69"/>
      <c r="T419" s="85">
        <f t="shared" si="302"/>
        <v>3794.3900000000003</v>
      </c>
      <c r="U419" s="85">
        <f t="shared" si="303"/>
        <v>3394.3900000000003</v>
      </c>
    </row>
    <row r="420" spans="1:22" s="72" customFormat="1" x14ac:dyDescent="0.25">
      <c r="A420" s="40">
        <v>256</v>
      </c>
      <c r="B420" s="67" t="s">
        <v>356</v>
      </c>
      <c r="C420" s="67" t="s">
        <v>76</v>
      </c>
      <c r="D420" s="168">
        <v>15</v>
      </c>
      <c r="E420" s="94">
        <v>317.87</v>
      </c>
      <c r="F420" s="95">
        <f t="shared" ref="F420" si="321">D420*E420</f>
        <v>4768.05</v>
      </c>
      <c r="G420" s="95">
        <v>400</v>
      </c>
      <c r="H420" s="100"/>
      <c r="I420" s="69">
        <f t="shared" si="313"/>
        <v>4257.91</v>
      </c>
      <c r="J420" s="70">
        <f t="shared" si="318"/>
        <v>510.14000000000033</v>
      </c>
      <c r="K420" s="71">
        <f t="shared" si="315"/>
        <v>0.16</v>
      </c>
      <c r="L420" s="69">
        <f t="shared" si="319"/>
        <v>93.907968000000011</v>
      </c>
      <c r="M420" s="69">
        <v>394.05</v>
      </c>
      <c r="N420" s="69">
        <v>488.66</v>
      </c>
      <c r="O420" s="95"/>
      <c r="P420" s="259">
        <v>1700</v>
      </c>
      <c r="Q420" s="247">
        <v>587</v>
      </c>
      <c r="R420" s="246"/>
      <c r="S420" s="69"/>
      <c r="T420" s="85">
        <f t="shared" si="302"/>
        <v>2392.3900000000003</v>
      </c>
      <c r="U420" s="85">
        <f t="shared" si="303"/>
        <v>1992.3900000000003</v>
      </c>
    </row>
    <row r="421" spans="1:22" s="72" customFormat="1" x14ac:dyDescent="0.25">
      <c r="A421" s="40">
        <v>262</v>
      </c>
      <c r="B421" s="67" t="s">
        <v>387</v>
      </c>
      <c r="C421" s="67" t="s">
        <v>76</v>
      </c>
      <c r="D421" s="168">
        <v>15</v>
      </c>
      <c r="E421" s="99">
        <v>317.87</v>
      </c>
      <c r="F421" s="100">
        <f>D421*E421</f>
        <v>4768.05</v>
      </c>
      <c r="G421" s="95">
        <v>400</v>
      </c>
      <c r="H421" s="100"/>
      <c r="I421" s="69">
        <f t="shared" si="313"/>
        <v>4257.91</v>
      </c>
      <c r="J421" s="70">
        <f t="shared" ref="J421" si="322">+F421-I421</f>
        <v>510.14000000000033</v>
      </c>
      <c r="K421" s="71">
        <f t="shared" si="315"/>
        <v>0.16</v>
      </c>
      <c r="L421" s="69">
        <f t="shared" ref="L421" si="323">(F421-4244.01)*17.92%</f>
        <v>93.907968000000011</v>
      </c>
      <c r="M421" s="69">
        <v>391.05</v>
      </c>
      <c r="N421" s="69">
        <v>488.66</v>
      </c>
      <c r="O421" s="100"/>
      <c r="P421" s="260">
        <v>850</v>
      </c>
      <c r="Q421" s="253"/>
      <c r="R421" s="253"/>
      <c r="S421" s="85"/>
      <c r="T421" s="85">
        <f t="shared" ref="T421" si="324">F421+G421+H421-N421+O421-P421-Q421-R421-S421</f>
        <v>3829.3900000000003</v>
      </c>
      <c r="U421" s="85">
        <f>T421-G421</f>
        <v>3429.3900000000003</v>
      </c>
    </row>
    <row r="422" spans="1:22" s="72" customFormat="1" x14ac:dyDescent="0.25">
      <c r="A422" s="40">
        <v>223</v>
      </c>
      <c r="B422" s="67" t="s">
        <v>446</v>
      </c>
      <c r="C422" s="67" t="s">
        <v>76</v>
      </c>
      <c r="D422" s="168">
        <v>15</v>
      </c>
      <c r="E422" s="94">
        <v>317.87</v>
      </c>
      <c r="F422" s="95">
        <f t="shared" ref="F422" si="325">D422*E422</f>
        <v>4768.05</v>
      </c>
      <c r="G422" s="95">
        <v>400</v>
      </c>
      <c r="H422" s="95"/>
      <c r="I422" s="69">
        <f t="shared" si="313"/>
        <v>4257.91</v>
      </c>
      <c r="J422" s="70">
        <f t="shared" si="318"/>
        <v>510.14000000000033</v>
      </c>
      <c r="K422" s="71">
        <f t="shared" si="315"/>
        <v>0.16</v>
      </c>
      <c r="L422" s="69">
        <f t="shared" si="319"/>
        <v>93.907968000000011</v>
      </c>
      <c r="M422" s="69">
        <v>395.05</v>
      </c>
      <c r="N422" s="69">
        <v>488.66</v>
      </c>
      <c r="O422" s="95"/>
      <c r="P422" s="259"/>
      <c r="Q422" s="247">
        <v>750</v>
      </c>
      <c r="R422" s="246"/>
      <c r="S422" s="69"/>
      <c r="T422" s="69">
        <f t="shared" si="302"/>
        <v>3929.3900000000003</v>
      </c>
      <c r="U422" s="69">
        <f t="shared" si="303"/>
        <v>3529.3900000000003</v>
      </c>
    </row>
    <row r="423" spans="1:22" s="72" customFormat="1" x14ac:dyDescent="0.25">
      <c r="A423" s="40">
        <v>235</v>
      </c>
      <c r="B423" s="67" t="s">
        <v>447</v>
      </c>
      <c r="C423" s="67" t="s">
        <v>76</v>
      </c>
      <c r="D423" s="168">
        <v>15</v>
      </c>
      <c r="E423" s="94">
        <v>317.87</v>
      </c>
      <c r="F423" s="95">
        <f t="shared" ref="F423:F429" si="326">D423*E423</f>
        <v>4768.05</v>
      </c>
      <c r="G423" s="95">
        <v>400</v>
      </c>
      <c r="H423" s="95"/>
      <c r="I423" s="69">
        <f t="shared" ref="I423:I435" si="327">VLOOKUP($F$371,Tabisr,1)</f>
        <v>4257.91</v>
      </c>
      <c r="J423" s="70">
        <f t="shared" si="318"/>
        <v>510.14000000000033</v>
      </c>
      <c r="K423" s="71">
        <f t="shared" ref="K423:K435" si="328">VLOOKUP($F$371,Tabisr,4)</f>
        <v>0.16</v>
      </c>
      <c r="L423" s="69">
        <f t="shared" si="319"/>
        <v>93.907968000000011</v>
      </c>
      <c r="M423" s="69">
        <v>397.05</v>
      </c>
      <c r="N423" s="69">
        <v>488.66</v>
      </c>
      <c r="O423" s="95"/>
      <c r="P423" s="259">
        <v>1250</v>
      </c>
      <c r="Q423" s="246"/>
      <c r="R423" s="246"/>
      <c r="S423" s="69"/>
      <c r="T423" s="69">
        <f t="shared" ref="T423:T431" si="329">F423+G423+H423-N423+O423-P423-Q423-R423-S423</f>
        <v>3429.3900000000003</v>
      </c>
      <c r="U423" s="69">
        <f t="shared" si="303"/>
        <v>3029.3900000000003</v>
      </c>
    </row>
    <row r="424" spans="1:22" s="72" customFormat="1" x14ac:dyDescent="0.25">
      <c r="A424" s="40">
        <v>290</v>
      </c>
      <c r="B424" s="67" t="s">
        <v>448</v>
      </c>
      <c r="C424" s="67" t="s">
        <v>76</v>
      </c>
      <c r="D424" s="168">
        <v>15</v>
      </c>
      <c r="E424" s="94">
        <v>317.87</v>
      </c>
      <c r="F424" s="95">
        <f>D424*E424</f>
        <v>4768.05</v>
      </c>
      <c r="G424" s="95">
        <v>400</v>
      </c>
      <c r="H424" s="95"/>
      <c r="I424" s="69">
        <f t="shared" si="327"/>
        <v>4257.91</v>
      </c>
      <c r="J424" s="70">
        <f>+F424-I424</f>
        <v>510.14000000000033</v>
      </c>
      <c r="K424" s="71">
        <f t="shared" si="328"/>
        <v>0.16</v>
      </c>
      <c r="L424" s="69">
        <f>(F424-4244.01)*17.92%</f>
        <v>93.907968000000011</v>
      </c>
      <c r="M424" s="69">
        <v>398.05</v>
      </c>
      <c r="N424" s="69">
        <v>488.66</v>
      </c>
      <c r="O424" s="95"/>
      <c r="P424" s="259">
        <v>1300</v>
      </c>
      <c r="Q424" s="247">
        <v>700</v>
      </c>
      <c r="R424" s="246"/>
      <c r="S424" s="69"/>
      <c r="T424" s="69">
        <f>F424+G424+H424-N424+O424-P424-Q424-R424-S424</f>
        <v>2679.3900000000003</v>
      </c>
      <c r="U424" s="69">
        <f>T424-G424</f>
        <v>2279.3900000000003</v>
      </c>
    </row>
    <row r="425" spans="1:22" x14ac:dyDescent="0.25">
      <c r="A425" s="42">
        <v>231</v>
      </c>
      <c r="B425" s="79" t="s">
        <v>180</v>
      </c>
      <c r="C425" s="79" t="s">
        <v>98</v>
      </c>
      <c r="D425" s="42">
        <v>15</v>
      </c>
      <c r="E425" s="99">
        <v>317.87</v>
      </c>
      <c r="F425" s="100">
        <f t="shared" ref="F425" si="330">D425*E425</f>
        <v>4768.05</v>
      </c>
      <c r="G425" s="100">
        <v>400</v>
      </c>
      <c r="H425" s="100"/>
      <c r="I425" s="85">
        <f t="shared" ref="I425" si="331">VLOOKUP($F$371,Tabisr,1)</f>
        <v>4257.91</v>
      </c>
      <c r="J425" s="86">
        <f t="shared" ref="J425" si="332">+F425-I425</f>
        <v>510.14000000000033</v>
      </c>
      <c r="K425" s="87">
        <f t="shared" ref="K425" si="333">VLOOKUP($F$371,Tabisr,4)</f>
        <v>0.16</v>
      </c>
      <c r="L425" s="85">
        <f t="shared" ref="L425" si="334">(F425-4244.01)*17.92%</f>
        <v>93.907968000000011</v>
      </c>
      <c r="M425" s="85">
        <v>398.05</v>
      </c>
      <c r="N425" s="85">
        <v>488.66</v>
      </c>
      <c r="O425" s="100"/>
      <c r="P425" s="260"/>
      <c r="Q425" s="256">
        <v>700</v>
      </c>
      <c r="R425" s="253"/>
      <c r="S425" s="85"/>
      <c r="T425" s="85">
        <f t="shared" ref="T425" si="335">F425+G425+H425-N425+O425-P425-Q425-R425-S425</f>
        <v>3979.3900000000003</v>
      </c>
      <c r="U425" s="85">
        <f t="shared" ref="U425" si="336">T425-G425</f>
        <v>3579.3900000000003</v>
      </c>
    </row>
    <row r="426" spans="1:22" s="72" customFormat="1" x14ac:dyDescent="0.25">
      <c r="A426" s="38">
        <v>217</v>
      </c>
      <c r="B426" s="57" t="s">
        <v>244</v>
      </c>
      <c r="C426" s="57" t="s">
        <v>98</v>
      </c>
      <c r="D426" s="38"/>
      <c r="E426" s="117"/>
      <c r="F426" s="118"/>
      <c r="G426" s="118"/>
      <c r="H426" s="118"/>
      <c r="I426" s="59"/>
      <c r="J426" s="61"/>
      <c r="K426" s="62"/>
      <c r="L426" s="59"/>
      <c r="M426" s="59"/>
      <c r="N426" s="59"/>
      <c r="O426" s="118"/>
      <c r="P426" s="261"/>
      <c r="Q426" s="254"/>
      <c r="R426" s="254"/>
      <c r="S426" s="59"/>
      <c r="T426" s="59"/>
      <c r="U426" s="59"/>
      <c r="V426" s="75"/>
    </row>
    <row r="427" spans="1:22" s="72" customFormat="1" x14ac:dyDescent="0.25">
      <c r="A427" s="38">
        <v>216</v>
      </c>
      <c r="B427" s="92" t="s">
        <v>244</v>
      </c>
      <c r="C427" s="57" t="s">
        <v>98</v>
      </c>
      <c r="D427" s="38"/>
      <c r="E427" s="117"/>
      <c r="F427" s="118"/>
      <c r="G427" s="118"/>
      <c r="H427" s="118"/>
      <c r="I427" s="59"/>
      <c r="J427" s="61"/>
      <c r="K427" s="62"/>
      <c r="L427" s="59"/>
      <c r="M427" s="59"/>
      <c r="N427" s="59"/>
      <c r="O427" s="118"/>
      <c r="P427" s="261"/>
      <c r="Q427" s="254"/>
      <c r="R427" s="254"/>
      <c r="S427" s="59"/>
      <c r="T427" s="59"/>
      <c r="U427" s="59"/>
    </row>
    <row r="428" spans="1:22" s="72" customFormat="1" x14ac:dyDescent="0.25">
      <c r="A428" s="35">
        <v>241</v>
      </c>
      <c r="B428" s="57" t="s">
        <v>244</v>
      </c>
      <c r="C428" s="58" t="s">
        <v>325</v>
      </c>
      <c r="D428" s="38"/>
      <c r="E428" s="117"/>
      <c r="F428" s="118"/>
      <c r="G428" s="118"/>
      <c r="H428" s="118"/>
      <c r="I428" s="120"/>
      <c r="J428" s="121"/>
      <c r="K428" s="122"/>
      <c r="L428" s="120"/>
      <c r="M428" s="120"/>
      <c r="N428" s="120"/>
      <c r="O428" s="118"/>
      <c r="P428" s="261"/>
      <c r="Q428" s="254"/>
      <c r="R428" s="254"/>
      <c r="S428" s="59"/>
      <c r="T428" s="59"/>
      <c r="U428" s="59"/>
    </row>
    <row r="429" spans="1:22" s="72" customFormat="1" x14ac:dyDescent="0.25">
      <c r="A429" s="42">
        <v>221</v>
      </c>
      <c r="B429" s="67" t="s">
        <v>258</v>
      </c>
      <c r="C429" s="67" t="s">
        <v>98</v>
      </c>
      <c r="D429" s="42">
        <v>15</v>
      </c>
      <c r="E429" s="94">
        <v>317.87</v>
      </c>
      <c r="F429" s="95">
        <f t="shared" si="326"/>
        <v>4768.05</v>
      </c>
      <c r="G429" s="95">
        <v>400</v>
      </c>
      <c r="H429" s="100"/>
      <c r="I429" s="69">
        <f t="shared" si="327"/>
        <v>4257.91</v>
      </c>
      <c r="J429" s="70">
        <f t="shared" si="318"/>
        <v>510.14000000000033</v>
      </c>
      <c r="K429" s="71">
        <f t="shared" si="328"/>
        <v>0.16</v>
      </c>
      <c r="L429" s="69">
        <f t="shared" si="319"/>
        <v>93.907968000000011</v>
      </c>
      <c r="M429" s="69">
        <v>402.05</v>
      </c>
      <c r="N429" s="69">
        <v>488.66</v>
      </c>
      <c r="O429" s="100"/>
      <c r="P429" s="260"/>
      <c r="Q429" s="253"/>
      <c r="R429" s="253"/>
      <c r="S429" s="85"/>
      <c r="T429" s="85">
        <f t="shared" si="329"/>
        <v>4679.3900000000003</v>
      </c>
      <c r="U429" s="85">
        <f t="shared" si="303"/>
        <v>4279.3900000000003</v>
      </c>
    </row>
    <row r="430" spans="1:22" s="75" customFormat="1" x14ac:dyDescent="0.25">
      <c r="A430" s="42">
        <v>224</v>
      </c>
      <c r="B430" s="67" t="s">
        <v>124</v>
      </c>
      <c r="C430" s="79" t="s">
        <v>98</v>
      </c>
      <c r="D430" s="42">
        <v>15</v>
      </c>
      <c r="E430" s="99">
        <v>317.87</v>
      </c>
      <c r="F430" s="100">
        <f t="shared" si="307"/>
        <v>4768.05</v>
      </c>
      <c r="G430" s="95">
        <v>400</v>
      </c>
      <c r="H430" s="100"/>
      <c r="I430" s="69">
        <f t="shared" si="327"/>
        <v>4257.91</v>
      </c>
      <c r="J430" s="70">
        <f t="shared" si="318"/>
        <v>510.14000000000033</v>
      </c>
      <c r="K430" s="71">
        <f t="shared" si="328"/>
        <v>0.16</v>
      </c>
      <c r="L430" s="69">
        <f t="shared" si="319"/>
        <v>93.907968000000011</v>
      </c>
      <c r="M430" s="69">
        <v>403.05</v>
      </c>
      <c r="N430" s="69">
        <v>488.66</v>
      </c>
      <c r="O430" s="100"/>
      <c r="P430" s="260"/>
      <c r="Q430" s="253"/>
      <c r="R430" s="253"/>
      <c r="S430" s="85"/>
      <c r="T430" s="85">
        <f t="shared" si="329"/>
        <v>4679.3900000000003</v>
      </c>
      <c r="U430" s="85">
        <f t="shared" si="303"/>
        <v>4279.3900000000003</v>
      </c>
    </row>
    <row r="431" spans="1:22" s="72" customFormat="1" x14ac:dyDescent="0.25">
      <c r="A431" s="42">
        <v>225</v>
      </c>
      <c r="B431" s="67" t="s">
        <v>265</v>
      </c>
      <c r="C431" s="67" t="s">
        <v>98</v>
      </c>
      <c r="D431" s="42">
        <v>15</v>
      </c>
      <c r="E431" s="94">
        <v>317.87</v>
      </c>
      <c r="F431" s="95">
        <f t="shared" si="307"/>
        <v>4768.05</v>
      </c>
      <c r="G431" s="95">
        <v>400</v>
      </c>
      <c r="H431" s="100">
        <v>600</v>
      </c>
      <c r="I431" s="69">
        <f t="shared" si="327"/>
        <v>4257.91</v>
      </c>
      <c r="J431" s="70">
        <f t="shared" si="318"/>
        <v>510.14000000000033</v>
      </c>
      <c r="K431" s="71">
        <f t="shared" si="328"/>
        <v>0.16</v>
      </c>
      <c r="L431" s="69">
        <f t="shared" si="319"/>
        <v>93.907968000000011</v>
      </c>
      <c r="M431" s="69">
        <v>404.05</v>
      </c>
      <c r="N431" s="69">
        <v>488.66</v>
      </c>
      <c r="O431" s="95"/>
      <c r="P431" s="259"/>
      <c r="Q431" s="247">
        <v>750</v>
      </c>
      <c r="R431" s="246"/>
      <c r="S431" s="69"/>
      <c r="T431" s="69">
        <f t="shared" si="329"/>
        <v>4529.3900000000003</v>
      </c>
      <c r="U431" s="69">
        <f t="shared" si="303"/>
        <v>4129.3900000000003</v>
      </c>
    </row>
    <row r="432" spans="1:22" s="72" customFormat="1" x14ac:dyDescent="0.25">
      <c r="A432" s="42">
        <v>226</v>
      </c>
      <c r="B432" s="67" t="s">
        <v>67</v>
      </c>
      <c r="C432" s="79" t="s">
        <v>98</v>
      </c>
      <c r="D432" s="42">
        <v>15</v>
      </c>
      <c r="E432" s="94">
        <v>317.87</v>
      </c>
      <c r="F432" s="95">
        <f t="shared" ref="F432" si="337">D432*E432</f>
        <v>4768.05</v>
      </c>
      <c r="G432" s="95">
        <v>400</v>
      </c>
      <c r="H432" s="100"/>
      <c r="I432" s="69">
        <f t="shared" si="327"/>
        <v>4257.91</v>
      </c>
      <c r="J432" s="70">
        <f t="shared" ref="J432" si="338">+F432-I432</f>
        <v>510.14000000000033</v>
      </c>
      <c r="K432" s="71">
        <f t="shared" si="328"/>
        <v>0.16</v>
      </c>
      <c r="L432" s="69">
        <f t="shared" ref="L432" si="339">(F432-4244.01)*17.92%</f>
        <v>93.907968000000011</v>
      </c>
      <c r="M432" s="69">
        <v>404.05</v>
      </c>
      <c r="N432" s="69">
        <v>488.66</v>
      </c>
      <c r="O432" s="95"/>
      <c r="P432" s="259"/>
      <c r="Q432" s="246"/>
      <c r="R432" s="246"/>
      <c r="S432" s="69"/>
      <c r="T432" s="69">
        <f t="shared" ref="T432" si="340">F432+G432+H432-N432+O432-P432-Q432-R432-S432</f>
        <v>4679.3900000000003</v>
      </c>
      <c r="U432" s="69">
        <f t="shared" si="303"/>
        <v>4279.3900000000003</v>
      </c>
    </row>
    <row r="433" spans="1:21" s="72" customFormat="1" x14ac:dyDescent="0.25">
      <c r="A433" s="42">
        <v>227</v>
      </c>
      <c r="B433" s="67" t="s">
        <v>49</v>
      </c>
      <c r="C433" s="79" t="s">
        <v>98</v>
      </c>
      <c r="D433" s="42">
        <v>15</v>
      </c>
      <c r="E433" s="99">
        <v>317.87</v>
      </c>
      <c r="F433" s="100">
        <f t="shared" si="307"/>
        <v>4768.05</v>
      </c>
      <c r="G433" s="95">
        <v>400</v>
      </c>
      <c r="H433" s="100"/>
      <c r="I433" s="69">
        <f t="shared" si="327"/>
        <v>4257.91</v>
      </c>
      <c r="J433" s="70">
        <f t="shared" si="318"/>
        <v>510.14000000000033</v>
      </c>
      <c r="K433" s="71">
        <f t="shared" si="328"/>
        <v>0.16</v>
      </c>
      <c r="L433" s="69">
        <f t="shared" si="319"/>
        <v>93.907968000000011</v>
      </c>
      <c r="M433" s="69">
        <v>406.05</v>
      </c>
      <c r="N433" s="69">
        <v>488.66</v>
      </c>
      <c r="O433" s="100"/>
      <c r="P433" s="259"/>
      <c r="Q433" s="253"/>
      <c r="R433" s="253"/>
      <c r="S433" s="85"/>
      <c r="T433" s="69">
        <f t="shared" ref="T433:T434" si="341">F433+G433+H433-N433+O433-P433-Q433-R433-S433</f>
        <v>4679.3900000000003</v>
      </c>
      <c r="U433" s="69">
        <f t="shared" si="303"/>
        <v>4279.3900000000003</v>
      </c>
    </row>
    <row r="434" spans="1:21" x14ac:dyDescent="0.25">
      <c r="A434" s="42">
        <v>228</v>
      </c>
      <c r="B434" s="67" t="s">
        <v>50</v>
      </c>
      <c r="C434" s="79" t="s">
        <v>98</v>
      </c>
      <c r="D434" s="42">
        <v>15</v>
      </c>
      <c r="E434" s="99">
        <v>317.87</v>
      </c>
      <c r="F434" s="100">
        <f t="shared" si="307"/>
        <v>4768.05</v>
      </c>
      <c r="G434" s="95">
        <v>400</v>
      </c>
      <c r="H434" s="100"/>
      <c r="I434" s="69">
        <f t="shared" si="327"/>
        <v>4257.91</v>
      </c>
      <c r="J434" s="70">
        <f t="shared" si="318"/>
        <v>510.14000000000033</v>
      </c>
      <c r="K434" s="71">
        <f t="shared" si="328"/>
        <v>0.16</v>
      </c>
      <c r="L434" s="69">
        <f t="shared" si="319"/>
        <v>93.907968000000011</v>
      </c>
      <c r="M434" s="69">
        <v>407.05</v>
      </c>
      <c r="N434" s="69">
        <v>488.66</v>
      </c>
      <c r="O434" s="100"/>
      <c r="P434" s="260"/>
      <c r="Q434" s="253"/>
      <c r="R434" s="253"/>
      <c r="S434" s="85"/>
      <c r="T434" s="69">
        <f t="shared" si="341"/>
        <v>4679.3900000000003</v>
      </c>
      <c r="U434" s="69">
        <f t="shared" si="303"/>
        <v>4279.3900000000003</v>
      </c>
    </row>
    <row r="435" spans="1:21" s="72" customFormat="1" x14ac:dyDescent="0.25">
      <c r="A435" s="40">
        <v>229</v>
      </c>
      <c r="B435" s="67" t="s">
        <v>338</v>
      </c>
      <c r="C435" s="67" t="s">
        <v>98</v>
      </c>
      <c r="D435" s="42">
        <v>15</v>
      </c>
      <c r="E435" s="94">
        <v>317.87</v>
      </c>
      <c r="F435" s="95">
        <f>D435*E435</f>
        <v>4768.05</v>
      </c>
      <c r="G435" s="95">
        <v>400</v>
      </c>
      <c r="H435" s="100"/>
      <c r="I435" s="69">
        <f t="shared" si="327"/>
        <v>4257.91</v>
      </c>
      <c r="J435" s="70">
        <f>+F435-I435</f>
        <v>510.14000000000033</v>
      </c>
      <c r="K435" s="71">
        <f t="shared" si="328"/>
        <v>0.16</v>
      </c>
      <c r="L435" s="69">
        <f>(F435-4244.01)*17.92%</f>
        <v>93.907968000000011</v>
      </c>
      <c r="M435" s="69">
        <v>400.05</v>
      </c>
      <c r="N435" s="69">
        <v>488.66</v>
      </c>
      <c r="O435" s="95"/>
      <c r="P435" s="259"/>
      <c r="Q435" s="247">
        <v>690</v>
      </c>
      <c r="R435" s="246"/>
      <c r="S435" s="69"/>
      <c r="T435" s="69">
        <f>F435+G435+H435-N435+O435-P435-Q435-R435-S435</f>
        <v>3989.3900000000003</v>
      </c>
      <c r="U435" s="69">
        <f>T435-G435</f>
        <v>3589.3900000000003</v>
      </c>
    </row>
    <row r="436" spans="1:21" s="72" customFormat="1" x14ac:dyDescent="0.25">
      <c r="A436" s="42">
        <v>230</v>
      </c>
      <c r="B436" s="67" t="s">
        <v>53</v>
      </c>
      <c r="C436" s="79" t="s">
        <v>98</v>
      </c>
      <c r="D436" s="42">
        <v>15</v>
      </c>
      <c r="E436" s="99">
        <v>317.87</v>
      </c>
      <c r="F436" s="100">
        <f t="shared" si="307"/>
        <v>4768.05</v>
      </c>
      <c r="G436" s="95">
        <v>400</v>
      </c>
      <c r="H436" s="100"/>
      <c r="I436" s="69">
        <f t="shared" ref="I436:I445" si="342">VLOOKUP($F$371,Tabisr,1)</f>
        <v>4257.91</v>
      </c>
      <c r="J436" s="70">
        <f t="shared" si="318"/>
        <v>510.14000000000033</v>
      </c>
      <c r="K436" s="71">
        <f t="shared" ref="K436:K445" si="343">VLOOKUP($F$371,Tabisr,4)</f>
        <v>0.16</v>
      </c>
      <c r="L436" s="69">
        <f t="shared" si="319"/>
        <v>93.907968000000011</v>
      </c>
      <c r="M436" s="69">
        <v>409.05</v>
      </c>
      <c r="N436" s="69">
        <v>488.66</v>
      </c>
      <c r="O436" s="100"/>
      <c r="P436" s="260"/>
      <c r="Q436" s="253"/>
      <c r="R436" s="253"/>
      <c r="S436" s="85"/>
      <c r="T436" s="85">
        <f t="shared" ref="T436:T445" si="344">F436+G436+H436-N436+O436-P436-Q436-R436-S436</f>
        <v>4679.3900000000003</v>
      </c>
      <c r="U436" s="85">
        <f t="shared" ref="U436:U445" si="345">T436-G436</f>
        <v>4279.3900000000003</v>
      </c>
    </row>
    <row r="437" spans="1:21" s="72" customFormat="1" x14ac:dyDescent="0.25">
      <c r="A437" s="42">
        <v>232</v>
      </c>
      <c r="B437" s="67" t="s">
        <v>127</v>
      </c>
      <c r="C437" s="79" t="s">
        <v>98</v>
      </c>
      <c r="D437" s="42">
        <v>15</v>
      </c>
      <c r="E437" s="99">
        <v>317.87</v>
      </c>
      <c r="F437" s="100">
        <f t="shared" si="307"/>
        <v>4768.05</v>
      </c>
      <c r="G437" s="95">
        <v>400</v>
      </c>
      <c r="H437" s="100"/>
      <c r="I437" s="69">
        <f t="shared" si="342"/>
        <v>4257.91</v>
      </c>
      <c r="J437" s="70">
        <f t="shared" si="318"/>
        <v>510.14000000000033</v>
      </c>
      <c r="K437" s="71">
        <f t="shared" si="343"/>
        <v>0.16</v>
      </c>
      <c r="L437" s="69">
        <f t="shared" si="319"/>
        <v>93.907968000000011</v>
      </c>
      <c r="M437" s="69">
        <v>410.05</v>
      </c>
      <c r="N437" s="69">
        <v>488.66</v>
      </c>
      <c r="O437" s="100"/>
      <c r="P437" s="260"/>
      <c r="Q437" s="253"/>
      <c r="R437" s="253"/>
      <c r="S437" s="85"/>
      <c r="T437" s="85">
        <f t="shared" si="344"/>
        <v>4679.3900000000003</v>
      </c>
      <c r="U437" s="85">
        <f t="shared" si="345"/>
        <v>4279.3900000000003</v>
      </c>
    </row>
    <row r="438" spans="1:21" s="72" customFormat="1" x14ac:dyDescent="0.25">
      <c r="A438" s="42">
        <v>234</v>
      </c>
      <c r="B438" s="67" t="s">
        <v>138</v>
      </c>
      <c r="C438" s="79" t="s">
        <v>98</v>
      </c>
      <c r="D438" s="42">
        <v>15</v>
      </c>
      <c r="E438" s="99">
        <v>317.87</v>
      </c>
      <c r="F438" s="100">
        <f t="shared" si="307"/>
        <v>4768.05</v>
      </c>
      <c r="G438" s="95">
        <v>400</v>
      </c>
      <c r="H438" s="100"/>
      <c r="I438" s="69">
        <f t="shared" si="342"/>
        <v>4257.91</v>
      </c>
      <c r="J438" s="70">
        <f t="shared" si="318"/>
        <v>510.14000000000033</v>
      </c>
      <c r="K438" s="71">
        <f t="shared" si="343"/>
        <v>0.16</v>
      </c>
      <c r="L438" s="69">
        <f t="shared" si="319"/>
        <v>93.907968000000011</v>
      </c>
      <c r="M438" s="69">
        <v>411.05</v>
      </c>
      <c r="N438" s="69">
        <v>488.66</v>
      </c>
      <c r="O438" s="100"/>
      <c r="P438" s="260">
        <v>1200</v>
      </c>
      <c r="Q438" s="253"/>
      <c r="R438" s="253"/>
      <c r="S438" s="85"/>
      <c r="T438" s="85">
        <f t="shared" si="344"/>
        <v>3479.3900000000003</v>
      </c>
      <c r="U438" s="85">
        <f t="shared" si="345"/>
        <v>3079.3900000000003</v>
      </c>
    </row>
    <row r="439" spans="1:21" s="72" customFormat="1" ht="36" x14ac:dyDescent="0.25">
      <c r="A439" s="42">
        <v>236</v>
      </c>
      <c r="B439" s="67" t="s">
        <v>47</v>
      </c>
      <c r="C439" s="79" t="s">
        <v>97</v>
      </c>
      <c r="D439" s="42">
        <v>15</v>
      </c>
      <c r="E439" s="99">
        <v>401.66</v>
      </c>
      <c r="F439" s="100">
        <f t="shared" si="307"/>
        <v>6024.9000000000005</v>
      </c>
      <c r="G439" s="95">
        <v>400</v>
      </c>
      <c r="H439" s="100"/>
      <c r="I439" s="69">
        <f t="shared" si="342"/>
        <v>4257.91</v>
      </c>
      <c r="J439" s="70">
        <f t="shared" si="318"/>
        <v>1766.9900000000007</v>
      </c>
      <c r="K439" s="71">
        <f t="shared" si="343"/>
        <v>0.16</v>
      </c>
      <c r="L439" s="69">
        <f t="shared" si="319"/>
        <v>319.13548800000012</v>
      </c>
      <c r="M439" s="69">
        <v>412.05</v>
      </c>
      <c r="N439" s="69">
        <v>587.66</v>
      </c>
      <c r="O439" s="100"/>
      <c r="P439" s="260"/>
      <c r="Q439" s="253"/>
      <c r="R439" s="253">
        <f>CHEQUES!F16</f>
        <v>1793.71</v>
      </c>
      <c r="S439" s="85"/>
      <c r="T439" s="85">
        <f t="shared" si="344"/>
        <v>4043.5300000000007</v>
      </c>
      <c r="U439" s="85">
        <f t="shared" si="345"/>
        <v>3643.5300000000007</v>
      </c>
    </row>
    <row r="440" spans="1:21" s="72" customFormat="1" ht="24" x14ac:dyDescent="0.25">
      <c r="A440" s="40">
        <v>287</v>
      </c>
      <c r="B440" s="78" t="s">
        <v>436</v>
      </c>
      <c r="C440" s="79" t="s">
        <v>437</v>
      </c>
      <c r="D440" s="42">
        <v>15</v>
      </c>
      <c r="E440" s="52">
        <v>263.56</v>
      </c>
      <c r="F440" s="52">
        <f>D440*E440</f>
        <v>3953.4</v>
      </c>
      <c r="G440" s="52">
        <v>400</v>
      </c>
      <c r="H440" s="52"/>
      <c r="I440" s="52">
        <f>VLOOKUP($F$48,Tabisr,1)</f>
        <v>2422.81</v>
      </c>
      <c r="J440" s="53">
        <f t="shared" si="318"/>
        <v>1530.5900000000001</v>
      </c>
      <c r="K440" s="54">
        <f>VLOOKUP($F$48,Tabisr,4)</f>
        <v>0.10879999999999999</v>
      </c>
      <c r="L440" s="52">
        <f>(F440-3651.01)*16%</f>
        <v>48.382399999999983</v>
      </c>
      <c r="M440" s="52">
        <v>293.25</v>
      </c>
      <c r="N440" s="52">
        <f>M440+L440</f>
        <v>341.63239999999996</v>
      </c>
      <c r="O440" s="52">
        <f>VLOOKUP($F$48,Tabsub,3)</f>
        <v>0</v>
      </c>
      <c r="P440" s="246"/>
      <c r="Q440" s="246"/>
      <c r="R440" s="246"/>
      <c r="S440" s="52"/>
      <c r="T440" s="53">
        <f t="shared" si="344"/>
        <v>4011.7675999999997</v>
      </c>
      <c r="U440" s="53">
        <f>T440-G440</f>
        <v>3611.7675999999997</v>
      </c>
    </row>
    <row r="441" spans="1:21" s="72" customFormat="1" ht="24" x14ac:dyDescent="0.25">
      <c r="A441" s="40">
        <v>261</v>
      </c>
      <c r="B441" s="67" t="s">
        <v>364</v>
      </c>
      <c r="C441" s="67" t="s">
        <v>167</v>
      </c>
      <c r="D441" s="42">
        <v>15</v>
      </c>
      <c r="E441" s="94">
        <v>317.87</v>
      </c>
      <c r="F441" s="95">
        <f t="shared" ref="F441" si="346">D441*E441</f>
        <v>4768.05</v>
      </c>
      <c r="G441" s="95">
        <v>400</v>
      </c>
      <c r="H441" s="100"/>
      <c r="I441" s="69">
        <f t="shared" si="342"/>
        <v>4257.91</v>
      </c>
      <c r="J441" s="70">
        <f t="shared" si="318"/>
        <v>510.14000000000033</v>
      </c>
      <c r="K441" s="71">
        <f t="shared" si="343"/>
        <v>0.16</v>
      </c>
      <c r="L441" s="69">
        <f t="shared" si="319"/>
        <v>93.907968000000011</v>
      </c>
      <c r="M441" s="69">
        <v>413.05</v>
      </c>
      <c r="N441" s="69">
        <v>488.66</v>
      </c>
      <c r="O441" s="95"/>
      <c r="P441" s="259"/>
      <c r="Q441" s="246"/>
      <c r="R441" s="246"/>
      <c r="S441" s="69"/>
      <c r="T441" s="69">
        <f t="shared" si="344"/>
        <v>4679.3900000000003</v>
      </c>
      <c r="U441" s="69">
        <f t="shared" si="345"/>
        <v>4279.3900000000003</v>
      </c>
    </row>
    <row r="442" spans="1:21" s="72" customFormat="1" ht="24" x14ac:dyDescent="0.25">
      <c r="A442" s="42">
        <v>237</v>
      </c>
      <c r="B442" s="67" t="s">
        <v>275</v>
      </c>
      <c r="C442" s="67" t="s">
        <v>167</v>
      </c>
      <c r="D442" s="42">
        <v>15</v>
      </c>
      <c r="E442" s="94">
        <v>317.87</v>
      </c>
      <c r="F442" s="95">
        <f t="shared" si="307"/>
        <v>4768.05</v>
      </c>
      <c r="G442" s="95">
        <v>400</v>
      </c>
      <c r="H442" s="100">
        <v>600</v>
      </c>
      <c r="I442" s="69">
        <f t="shared" si="342"/>
        <v>4257.91</v>
      </c>
      <c r="J442" s="70">
        <f t="shared" si="318"/>
        <v>510.14000000000033</v>
      </c>
      <c r="K442" s="71">
        <f t="shared" si="343"/>
        <v>0.16</v>
      </c>
      <c r="L442" s="69">
        <f t="shared" si="319"/>
        <v>93.907968000000011</v>
      </c>
      <c r="M442" s="69">
        <v>414.05</v>
      </c>
      <c r="N442" s="69">
        <v>488.66</v>
      </c>
      <c r="O442" s="95"/>
      <c r="P442" s="259"/>
      <c r="Q442" s="256">
        <v>750</v>
      </c>
      <c r="R442" s="253"/>
      <c r="S442" s="85"/>
      <c r="T442" s="85">
        <f t="shared" si="344"/>
        <v>4529.3900000000003</v>
      </c>
      <c r="U442" s="85">
        <f t="shared" si="345"/>
        <v>4129.3900000000003</v>
      </c>
    </row>
    <row r="443" spans="1:21" s="72" customFormat="1" ht="24" x14ac:dyDescent="0.25">
      <c r="A443" s="40">
        <v>246</v>
      </c>
      <c r="B443" s="67" t="s">
        <v>344</v>
      </c>
      <c r="C443" s="67" t="s">
        <v>167</v>
      </c>
      <c r="D443" s="42">
        <v>15</v>
      </c>
      <c r="E443" s="94">
        <v>317.87</v>
      </c>
      <c r="F443" s="95">
        <f t="shared" ref="F443" si="347">D443*E443</f>
        <v>4768.05</v>
      </c>
      <c r="G443" s="95">
        <v>400</v>
      </c>
      <c r="H443" s="100"/>
      <c r="I443" s="69">
        <f t="shared" si="342"/>
        <v>4257.91</v>
      </c>
      <c r="J443" s="70">
        <f t="shared" si="318"/>
        <v>510.14000000000033</v>
      </c>
      <c r="K443" s="71">
        <f t="shared" si="343"/>
        <v>0.16</v>
      </c>
      <c r="L443" s="69">
        <f t="shared" si="319"/>
        <v>93.907968000000011</v>
      </c>
      <c r="M443" s="69">
        <v>415.05</v>
      </c>
      <c r="N443" s="69">
        <v>488.66</v>
      </c>
      <c r="O443" s="95"/>
      <c r="P443" s="259"/>
      <c r="Q443" s="246"/>
      <c r="R443" s="246"/>
      <c r="S443" s="69"/>
      <c r="T443" s="69">
        <f t="shared" si="344"/>
        <v>4679.3900000000003</v>
      </c>
      <c r="U443" s="69">
        <f t="shared" si="345"/>
        <v>4279.3900000000003</v>
      </c>
    </row>
    <row r="444" spans="1:21" s="72" customFormat="1" ht="24" x14ac:dyDescent="0.25">
      <c r="A444" s="38">
        <v>238</v>
      </c>
      <c r="B444" s="57" t="s">
        <v>244</v>
      </c>
      <c r="C444" s="57" t="s">
        <v>167</v>
      </c>
      <c r="D444" s="38"/>
      <c r="E444" s="117"/>
      <c r="F444" s="118"/>
      <c r="G444" s="118"/>
      <c r="H444" s="118"/>
      <c r="I444" s="59"/>
      <c r="J444" s="61"/>
      <c r="K444" s="62"/>
      <c r="L444" s="59"/>
      <c r="M444" s="59"/>
      <c r="N444" s="59"/>
      <c r="O444" s="118"/>
      <c r="P444" s="118"/>
      <c r="Q444" s="59"/>
      <c r="R444" s="59"/>
      <c r="S444" s="59"/>
      <c r="T444" s="59"/>
      <c r="U444" s="59"/>
    </row>
    <row r="445" spans="1:21" s="72" customFormat="1" ht="24" x14ac:dyDescent="0.25">
      <c r="A445" s="42">
        <v>239</v>
      </c>
      <c r="B445" s="67" t="s">
        <v>247</v>
      </c>
      <c r="C445" s="79" t="s">
        <v>167</v>
      </c>
      <c r="D445" s="42">
        <v>15</v>
      </c>
      <c r="E445" s="99">
        <v>317.87</v>
      </c>
      <c r="F445" s="100">
        <f t="shared" si="307"/>
        <v>4768.05</v>
      </c>
      <c r="G445" s="95">
        <v>400</v>
      </c>
      <c r="H445" s="100"/>
      <c r="I445" s="69">
        <f t="shared" si="342"/>
        <v>4257.91</v>
      </c>
      <c r="J445" s="70">
        <f t="shared" si="318"/>
        <v>510.14000000000033</v>
      </c>
      <c r="K445" s="71">
        <f t="shared" si="343"/>
        <v>0.16</v>
      </c>
      <c r="L445" s="69">
        <f t="shared" si="319"/>
        <v>93.907968000000011</v>
      </c>
      <c r="M445" s="69">
        <v>417.05</v>
      </c>
      <c r="N445" s="69">
        <v>488.66</v>
      </c>
      <c r="O445" s="100"/>
      <c r="P445" s="100"/>
      <c r="Q445" s="85"/>
      <c r="R445" s="85"/>
      <c r="S445" s="85"/>
      <c r="T445" s="85">
        <f t="shared" si="344"/>
        <v>4679.3900000000003</v>
      </c>
      <c r="U445" s="85">
        <f t="shared" si="345"/>
        <v>4279.3900000000003</v>
      </c>
    </row>
    <row r="446" spans="1:21" s="72" customFormat="1" x14ac:dyDescent="0.2">
      <c r="A446" s="10"/>
      <c r="B446" s="16"/>
      <c r="C446" s="16"/>
      <c r="D446" s="190"/>
      <c r="E446" s="190"/>
      <c r="F446" s="15">
        <f t="shared" ref="F446:U446" si="348">SUM(F407:F445)</f>
        <v>176050.64999999997</v>
      </c>
      <c r="G446" s="15">
        <f>SUM(G407:G445)</f>
        <v>12800</v>
      </c>
      <c r="H446" s="15">
        <f t="shared" si="348"/>
        <v>4200</v>
      </c>
      <c r="I446" s="15">
        <f t="shared" si="348"/>
        <v>147770.74000000008</v>
      </c>
      <c r="J446" s="15">
        <f t="shared" si="348"/>
        <v>28279.909999999989</v>
      </c>
      <c r="K446" s="15" t="e">
        <f t="shared" si="348"/>
        <v>#N/A</v>
      </c>
      <c r="L446" s="15" t="e">
        <f t="shared" si="348"/>
        <v>#N/A</v>
      </c>
      <c r="M446" s="15" t="e">
        <f t="shared" si="348"/>
        <v>#N/A</v>
      </c>
      <c r="N446" s="15">
        <f t="shared" si="348"/>
        <v>18398.357951999998</v>
      </c>
      <c r="O446" s="15">
        <f t="shared" si="348"/>
        <v>0</v>
      </c>
      <c r="P446" s="15">
        <f t="shared" si="348"/>
        <v>13850</v>
      </c>
      <c r="Q446" s="74">
        <f t="shared" si="348"/>
        <v>7182</v>
      </c>
      <c r="R446" s="74">
        <f t="shared" si="348"/>
        <v>1793.71</v>
      </c>
      <c r="S446" s="74">
        <f t="shared" si="348"/>
        <v>0</v>
      </c>
      <c r="T446" s="74">
        <f t="shared" si="348"/>
        <v>151826.58204800004</v>
      </c>
      <c r="U446" s="74">
        <f t="shared" si="348"/>
        <v>139026.58204800001</v>
      </c>
    </row>
    <row r="447" spans="1:21" ht="12.75" thickBot="1" x14ac:dyDescent="0.3">
      <c r="A447" s="39"/>
      <c r="B447" s="63"/>
      <c r="C447" s="73"/>
      <c r="D447" s="13"/>
      <c r="E447" s="13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</row>
    <row r="448" spans="1:21" ht="12.75" thickBot="1" x14ac:dyDescent="0.3">
      <c r="A448" s="39"/>
      <c r="C448" s="73"/>
      <c r="D448" s="107"/>
      <c r="E448" s="107"/>
      <c r="F448" s="108">
        <f t="shared" ref="F448:T448" si="349">F446+F403+F397+F385+F376+F366+F358+F346+F320+F309+F302+F295+F248+F235+F225+F219+F209+F195+F182+F167+F159+F151+F139+F122+F112+F104+F97+F90+F83+F76+F56+F49+F41+F30+F19</f>
        <v>1423664.5449999999</v>
      </c>
      <c r="G448" s="108">
        <f t="shared" si="349"/>
        <v>86800</v>
      </c>
      <c r="H448" s="108">
        <f t="shared" si="349"/>
        <v>22358.564000000002</v>
      </c>
      <c r="I448" s="108">
        <f t="shared" ca="1" si="349"/>
        <v>1430874.375</v>
      </c>
      <c r="J448" s="108">
        <f t="shared" ca="1" si="349"/>
        <v>1430874.375</v>
      </c>
      <c r="K448" s="108">
        <f t="shared" ca="1" si="349"/>
        <v>1430874.375</v>
      </c>
      <c r="L448" s="108">
        <f t="shared" ca="1" si="349"/>
        <v>1430874.375</v>
      </c>
      <c r="M448" s="108">
        <f t="shared" ca="1" si="349"/>
        <v>1430874.375</v>
      </c>
      <c r="N448" s="108">
        <f t="shared" si="349"/>
        <v>167846.26461520002</v>
      </c>
      <c r="O448" s="108">
        <f t="shared" si="349"/>
        <v>2502</v>
      </c>
      <c r="P448" s="108">
        <f t="shared" si="349"/>
        <v>20280</v>
      </c>
      <c r="Q448" s="108">
        <f t="shared" si="349"/>
        <v>44468</v>
      </c>
      <c r="R448" s="108">
        <f t="shared" si="349"/>
        <v>3333.91</v>
      </c>
      <c r="S448" s="108">
        <f t="shared" si="349"/>
        <v>400</v>
      </c>
      <c r="T448" s="108">
        <f t="shared" si="349"/>
        <v>1301496.9343847998</v>
      </c>
      <c r="U448" s="189">
        <f>U446+U403+U397+U385+U376+U366+U358+U346+U320+U309+U302+U295+U248+U235+U225+U219+U209+U195+U182+U167+U159+U151+U139+U122+U112+U104+U97+U90+U83+U76+U56+U49+U41+U30+U19</f>
        <v>1214696.9343848</v>
      </c>
    </row>
    <row r="449" spans="1:22" x14ac:dyDescent="0.2">
      <c r="A449" s="39"/>
      <c r="D449" s="127"/>
      <c r="E449" s="127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>
        <v>20280</v>
      </c>
      <c r="Q449" s="130">
        <v>44468</v>
      </c>
      <c r="R449" s="130"/>
      <c r="S449" s="130"/>
      <c r="T449" s="130"/>
      <c r="U449" s="130"/>
      <c r="V449" s="55"/>
    </row>
    <row r="450" spans="1:22" ht="15" x14ac:dyDescent="0.25">
      <c r="A450" s="39"/>
      <c r="D450" s="166"/>
      <c r="E450" s="166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>
        <f>P449-P448</f>
        <v>0</v>
      </c>
      <c r="Q450" s="167">
        <f>Q449-Q448</f>
        <v>0</v>
      </c>
      <c r="R450" s="167"/>
      <c r="S450" s="167"/>
      <c r="T450" s="167"/>
      <c r="U450" s="167"/>
      <c r="V450" s="55"/>
    </row>
    <row r="451" spans="1:22" ht="15" x14ac:dyDescent="0.25">
      <c r="A451" s="39"/>
      <c r="D451" s="166"/>
      <c r="E451" s="166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55"/>
    </row>
    <row r="452" spans="1:22" ht="15" x14ac:dyDescent="0.25">
      <c r="A452" s="39"/>
      <c r="D452" s="128"/>
      <c r="E452" s="128"/>
      <c r="F452" s="129"/>
      <c r="G452" s="5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</row>
    <row r="453" spans="1:22" x14ac:dyDescent="0.25">
      <c r="A453" s="39"/>
      <c r="C453" s="81"/>
      <c r="D453" s="82"/>
      <c r="E453" s="82"/>
      <c r="F453" s="98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</row>
    <row r="454" spans="1:22" x14ac:dyDescent="0.25">
      <c r="A454" s="39"/>
      <c r="C454" s="110"/>
      <c r="D454" s="111"/>
      <c r="E454" s="111"/>
      <c r="F454" s="112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</row>
    <row r="455" spans="1:22" x14ac:dyDescent="0.25">
      <c r="A455" s="39"/>
      <c r="B455" s="113"/>
      <c r="C455" s="110"/>
      <c r="D455" s="111"/>
      <c r="E455" s="111"/>
      <c r="F455" s="112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</row>
    <row r="456" spans="1:22" x14ac:dyDescent="0.25">
      <c r="A456" s="39"/>
      <c r="C456" s="110"/>
      <c r="D456" s="111"/>
      <c r="E456" s="111"/>
      <c r="F456" s="112"/>
      <c r="G456" s="5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</row>
    <row r="457" spans="1:22" x14ac:dyDescent="0.25">
      <c r="A457" s="39"/>
      <c r="C457" s="110"/>
      <c r="D457" s="111"/>
      <c r="E457" s="111"/>
      <c r="F457" s="83"/>
      <c r="G457" s="5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</row>
    <row r="458" spans="1:22" x14ac:dyDescent="0.25">
      <c r="A458" s="39"/>
      <c r="C458" s="81"/>
      <c r="D458" s="82"/>
      <c r="E458" s="82"/>
      <c r="F458" s="98"/>
      <c r="G458" s="5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</row>
    <row r="459" spans="1:22" x14ac:dyDescent="0.25">
      <c r="A459" s="39"/>
      <c r="F459" s="114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</row>
    <row r="460" spans="1:22" x14ac:dyDescent="0.25"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</row>
    <row r="461" spans="1:22" x14ac:dyDescent="0.25"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</row>
    <row r="462" spans="1:22" x14ac:dyDescent="0.25"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</row>
    <row r="463" spans="1:22" x14ac:dyDescent="0.25"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</row>
    <row r="464" spans="1:22" x14ac:dyDescent="0.25"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</row>
    <row r="465" spans="7:21" x14ac:dyDescent="0.25"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</row>
    <row r="466" spans="7:21" x14ac:dyDescent="0.25"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</row>
    <row r="467" spans="7:21" x14ac:dyDescent="0.25"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</row>
    <row r="468" spans="7:21" x14ac:dyDescent="0.25"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</row>
  </sheetData>
  <mergeCells count="40">
    <mergeCell ref="A114:U114"/>
    <mergeCell ref="A211:U211"/>
    <mergeCell ref="A298:U298"/>
    <mergeCell ref="A250:U250"/>
    <mergeCell ref="A170:U170"/>
    <mergeCell ref="A162:U162"/>
    <mergeCell ref="A154:U154"/>
    <mergeCell ref="A222:U222"/>
    <mergeCell ref="A43:U43"/>
    <mergeCell ref="A51:U51"/>
    <mergeCell ref="A58:U58"/>
    <mergeCell ref="A79:U79"/>
    <mergeCell ref="A405:U405"/>
    <mergeCell ref="A399:U399"/>
    <mergeCell ref="A388:U388"/>
    <mergeCell ref="A379:U379"/>
    <mergeCell ref="A369:U369"/>
    <mergeCell ref="A361:U361"/>
    <mergeCell ref="A349:U349"/>
    <mergeCell ref="A323:U323"/>
    <mergeCell ref="A311:U311"/>
    <mergeCell ref="A305:U305"/>
    <mergeCell ref="A141:U141"/>
    <mergeCell ref="A125:U125"/>
    <mergeCell ref="A2:U2"/>
    <mergeCell ref="A3:U3"/>
    <mergeCell ref="A4:U4"/>
    <mergeCell ref="A21:U21"/>
    <mergeCell ref="A6:U6"/>
    <mergeCell ref="A1:U1"/>
    <mergeCell ref="A184:U184"/>
    <mergeCell ref="A197:U197"/>
    <mergeCell ref="A228:U228"/>
    <mergeCell ref="A238:U238"/>
    <mergeCell ref="A86:U86"/>
    <mergeCell ref="A93:U93"/>
    <mergeCell ref="A99:U99"/>
    <mergeCell ref="A106:U106"/>
    <mergeCell ref="A32:U32"/>
    <mergeCell ref="D446:E446"/>
  </mergeCells>
  <phoneticPr fontId="3" type="noConversion"/>
  <pageMargins left="0.24" right="0" top="0.43306977252843398" bottom="0.55118110236220497" header="0.51180993000874897" footer="0.43306977252843398"/>
  <pageSetup paperSize="5" scale="65" orientation="landscape" r:id="rId1"/>
  <ignoredErrors>
    <ignoredError sqref="N25 L27 L73 N7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14" sqref="B14"/>
    </sheetView>
  </sheetViews>
  <sheetFormatPr baseColWidth="10" defaultColWidth="11.42578125" defaultRowHeight="15" x14ac:dyDescent="0.25"/>
  <cols>
    <col min="1" max="16384" width="11.42578125" style="2"/>
  </cols>
  <sheetData>
    <row r="2" spans="1:13" ht="14.45" x14ac:dyDescent="0.3">
      <c r="A2" s="1" t="s">
        <v>140</v>
      </c>
      <c r="B2" s="1"/>
      <c r="C2" s="1"/>
      <c r="D2" s="1"/>
      <c r="E2" s="1"/>
      <c r="F2" s="1"/>
      <c r="H2" s="1" t="s">
        <v>141</v>
      </c>
      <c r="I2" s="1"/>
      <c r="J2" s="1"/>
      <c r="K2" s="1"/>
      <c r="L2" s="1"/>
      <c r="M2" s="1"/>
    </row>
    <row r="3" spans="1:13" ht="14.45" x14ac:dyDescent="0.3">
      <c r="A3" s="1" t="s">
        <v>340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ht="14.45" x14ac:dyDescent="0.3">
      <c r="A4" s="4" t="s">
        <v>341</v>
      </c>
      <c r="B4" s="4"/>
      <c r="C4" s="4"/>
      <c r="D4" s="4"/>
      <c r="E4" s="4"/>
      <c r="F4" s="4"/>
      <c r="H4" s="1" t="s">
        <v>142</v>
      </c>
      <c r="I4" s="1"/>
      <c r="J4" s="1"/>
      <c r="K4" s="1"/>
      <c r="L4" s="1"/>
      <c r="M4" s="3"/>
    </row>
    <row r="5" spans="1:13" ht="14.45" x14ac:dyDescent="0.3">
      <c r="A5" s="1" t="s">
        <v>342</v>
      </c>
      <c r="B5" s="1"/>
      <c r="C5" s="1"/>
      <c r="D5" s="1"/>
      <c r="E5" s="1"/>
      <c r="F5" s="1"/>
      <c r="H5" s="1" t="s">
        <v>143</v>
      </c>
      <c r="I5" s="1"/>
      <c r="J5" s="1"/>
      <c r="K5" s="1"/>
      <c r="L5" s="1"/>
      <c r="M5" s="3"/>
    </row>
    <row r="6" spans="1:13" ht="14.45" x14ac:dyDescent="0.3">
      <c r="H6" s="3"/>
      <c r="I6" s="3"/>
      <c r="J6" s="3"/>
      <c r="K6" s="3"/>
      <c r="L6" s="3"/>
      <c r="M6" s="3"/>
    </row>
    <row r="7" spans="1:13" ht="14.45" x14ac:dyDescent="0.3">
      <c r="H7" s="3"/>
      <c r="I7" s="3"/>
      <c r="J7" s="3"/>
      <c r="K7" s="3"/>
      <c r="L7" s="3"/>
      <c r="M7" s="3"/>
    </row>
    <row r="8" spans="1:13" x14ac:dyDescent="0.25">
      <c r="B8" s="5" t="s">
        <v>144</v>
      </c>
      <c r="C8" s="5" t="s">
        <v>145</v>
      </c>
      <c r="D8" s="5" t="s">
        <v>146</v>
      </c>
      <c r="E8" s="5" t="s">
        <v>147</v>
      </c>
      <c r="H8" s="3"/>
      <c r="I8" s="5" t="s">
        <v>148</v>
      </c>
      <c r="J8" s="5" t="s">
        <v>149</v>
      </c>
      <c r="K8" s="5" t="s">
        <v>150</v>
      </c>
      <c r="L8" s="3"/>
      <c r="M8" s="3"/>
    </row>
    <row r="9" spans="1:13" x14ac:dyDescent="0.25">
      <c r="B9" s="5" t="s">
        <v>151</v>
      </c>
      <c r="C9" s="5" t="s">
        <v>152</v>
      </c>
      <c r="D9" s="5" t="s">
        <v>153</v>
      </c>
      <c r="E9" s="5" t="s">
        <v>154</v>
      </c>
      <c r="H9" s="3"/>
      <c r="I9" s="5" t="s">
        <v>155</v>
      </c>
      <c r="J9" s="5" t="s">
        <v>155</v>
      </c>
      <c r="K9" s="5" t="s">
        <v>156</v>
      </c>
      <c r="L9" s="3"/>
      <c r="M9" s="3"/>
    </row>
    <row r="10" spans="1:13" ht="14.45" x14ac:dyDescent="0.3">
      <c r="B10" s="6" t="s">
        <v>157</v>
      </c>
      <c r="C10" s="6" t="s">
        <v>157</v>
      </c>
      <c r="D10" s="6" t="s">
        <v>157</v>
      </c>
      <c r="E10" s="6" t="s">
        <v>158</v>
      </c>
    </row>
    <row r="11" spans="1:13" ht="14.45" x14ac:dyDescent="0.3">
      <c r="B11" s="7">
        <v>0.01</v>
      </c>
      <c r="C11" s="7">
        <v>285.45</v>
      </c>
      <c r="D11" s="7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ht="14.45" x14ac:dyDescent="0.3">
      <c r="B12" s="7">
        <v>285.45999999999998</v>
      </c>
      <c r="C12" s="7">
        <v>2422.8000000000002</v>
      </c>
      <c r="D12" s="7">
        <v>5.55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ht="14.45" x14ac:dyDescent="0.3">
      <c r="B13" s="7">
        <v>2422.81</v>
      </c>
      <c r="C13" s="7">
        <v>4257.8999999999996</v>
      </c>
      <c r="D13" s="7">
        <v>142.19999999999999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ht="14.45" x14ac:dyDescent="0.3">
      <c r="B14" s="7">
        <v>4257.91</v>
      </c>
      <c r="C14" s="7">
        <v>4949.55</v>
      </c>
      <c r="D14" s="7">
        <v>341.85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ht="14.45" x14ac:dyDescent="0.3">
      <c r="B15" s="7">
        <v>4949.5600000000004</v>
      </c>
      <c r="C15" s="7">
        <v>5925.9</v>
      </c>
      <c r="D15" s="7">
        <v>452.55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ht="14.45" x14ac:dyDescent="0.3">
      <c r="B16" s="7">
        <v>5925.91</v>
      </c>
      <c r="C16" s="7">
        <v>11951.85</v>
      </c>
      <c r="D16" s="7">
        <v>627.6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ht="14.45" x14ac:dyDescent="0.3">
      <c r="B17" s="7">
        <v>11951.86</v>
      </c>
      <c r="C17" s="7">
        <v>18837.75</v>
      </c>
      <c r="D17" s="7">
        <v>1914.75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ht="14.45" x14ac:dyDescent="0.3">
      <c r="B18" s="7">
        <v>18837.759999999998</v>
      </c>
      <c r="C18" s="7">
        <v>35964.300000000003</v>
      </c>
      <c r="D18" s="7">
        <v>3534.3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ht="14.45" x14ac:dyDescent="0.3">
      <c r="B19" s="7">
        <v>35964.31</v>
      </c>
      <c r="C19" s="7">
        <v>47952.3</v>
      </c>
      <c r="D19" s="7">
        <v>8672.25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ht="14.45" x14ac:dyDescent="0.3">
      <c r="B20" s="7">
        <v>47952.31</v>
      </c>
      <c r="C20" s="7">
        <v>143856.9</v>
      </c>
      <c r="D20" s="7">
        <v>12508.35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ht="14.45" x14ac:dyDescent="0.3">
      <c r="B21" s="7">
        <v>143856.91</v>
      </c>
      <c r="C21" s="7" t="s">
        <v>159</v>
      </c>
      <c r="D21" s="7">
        <v>45115.95</v>
      </c>
      <c r="E21" s="8">
        <v>0.35</v>
      </c>
      <c r="F21" s="9"/>
      <c r="I21" s="7">
        <v>3642.61</v>
      </c>
      <c r="J21" s="3" t="s">
        <v>159</v>
      </c>
      <c r="K21" s="7">
        <v>0</v>
      </c>
      <c r="L21" s="3"/>
    </row>
    <row r="22" spans="2:12" ht="14.45" x14ac:dyDescent="0.3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L22" sqref="L22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0.5703125" customWidth="1"/>
    <col min="11" max="11" width="21.7109375" customWidth="1"/>
    <col min="12" max="12" width="16.7109375" customWidth="1"/>
    <col min="13" max="13" width="10.7109375" customWidth="1"/>
    <col min="14" max="14" width="9.7109375" customWidth="1"/>
    <col min="15" max="15" width="8" customWidth="1"/>
    <col min="16" max="16" width="5.85546875" customWidth="1"/>
    <col min="17" max="17" width="8" customWidth="1"/>
    <col min="18" max="18" width="9.7109375" customWidth="1"/>
  </cols>
  <sheetData>
    <row r="1" spans="1:19" ht="16.5" customHeight="1" x14ac:dyDescent="0.25">
      <c r="B1" s="216" t="s">
        <v>239</v>
      </c>
      <c r="C1" s="216"/>
      <c r="D1" s="216"/>
      <c r="E1" s="216"/>
      <c r="F1" s="216"/>
      <c r="G1" s="216"/>
      <c r="I1" s="216" t="s">
        <v>239</v>
      </c>
      <c r="J1" s="216"/>
      <c r="K1" s="216"/>
      <c r="L1" s="216"/>
      <c r="M1" s="216"/>
      <c r="N1" s="216"/>
      <c r="O1" s="216"/>
      <c r="P1" s="216"/>
      <c r="Q1" s="216"/>
      <c r="R1" s="216"/>
    </row>
    <row r="2" spans="1:19" ht="21" customHeight="1" x14ac:dyDescent="0.25">
      <c r="B2" s="216"/>
      <c r="C2" s="216"/>
      <c r="D2" s="216"/>
      <c r="E2" s="216"/>
      <c r="F2" s="216"/>
      <c r="G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9" ht="18" customHeight="1" x14ac:dyDescent="0.3">
      <c r="B3" s="217" t="s">
        <v>406</v>
      </c>
      <c r="C3" s="217"/>
      <c r="D3" s="217"/>
      <c r="E3" s="217"/>
      <c r="F3" s="217"/>
      <c r="G3" s="217"/>
      <c r="J3" s="217" t="s">
        <v>406</v>
      </c>
      <c r="K3" s="217"/>
      <c r="L3" s="217"/>
      <c r="M3" s="217"/>
      <c r="N3" s="217"/>
      <c r="O3" s="217"/>
      <c r="P3" s="217"/>
      <c r="Q3" s="217"/>
      <c r="R3" s="217"/>
    </row>
    <row r="4" spans="1:19" ht="22.5" customHeight="1" x14ac:dyDescent="0.3">
      <c r="B4" s="218" t="s">
        <v>308</v>
      </c>
      <c r="C4" s="218"/>
      <c r="D4" s="218"/>
      <c r="E4" s="218"/>
      <c r="F4" s="218"/>
      <c r="G4" s="218"/>
      <c r="I4" s="218" t="s">
        <v>308</v>
      </c>
      <c r="J4" s="218"/>
      <c r="K4" s="218"/>
      <c r="L4" s="218"/>
      <c r="M4" s="218"/>
      <c r="N4" s="218"/>
      <c r="O4" s="218"/>
      <c r="P4" s="218"/>
      <c r="Q4" s="218"/>
      <c r="R4" s="218"/>
    </row>
    <row r="5" spans="1:19" ht="15.6" x14ac:dyDescent="0.3">
      <c r="B5" s="20"/>
      <c r="C5" s="20"/>
      <c r="D5" s="20"/>
      <c r="E5" s="20"/>
      <c r="F5" s="20"/>
      <c r="G5" s="20"/>
      <c r="M5" s="20"/>
      <c r="N5" s="20"/>
      <c r="O5" s="20"/>
      <c r="P5" s="20"/>
      <c r="Q5" s="20"/>
      <c r="R5" s="20"/>
    </row>
    <row r="6" spans="1:19" ht="18" x14ac:dyDescent="0.35">
      <c r="A6" s="214" t="s">
        <v>316</v>
      </c>
      <c r="B6" s="214"/>
      <c r="C6" s="214"/>
      <c r="D6" s="214"/>
      <c r="E6" s="214"/>
      <c r="F6" s="214"/>
      <c r="G6" s="214"/>
      <c r="I6" s="214" t="s">
        <v>486</v>
      </c>
      <c r="J6" s="214"/>
      <c r="K6" s="214"/>
      <c r="L6" s="214"/>
      <c r="M6" s="214"/>
      <c r="N6" s="214"/>
      <c r="O6" s="214"/>
      <c r="P6" s="214"/>
      <c r="Q6" s="214"/>
      <c r="R6" s="214"/>
    </row>
    <row r="7" spans="1:19" ht="23.45" customHeight="1" x14ac:dyDescent="0.35">
      <c r="A7" s="215" t="str">
        <f>'PERSONAL ADMINISTRATIVO'!A4:U4</f>
        <v>PERIODO DEL 01 AL 15 DE ENERO DEL 2022</v>
      </c>
      <c r="B7" s="215"/>
      <c r="C7" s="215"/>
      <c r="D7" s="215"/>
      <c r="E7" s="215"/>
      <c r="F7" s="215"/>
      <c r="G7" s="215"/>
      <c r="I7" s="215" t="str">
        <f>A7</f>
        <v>PERIODO DEL 01 AL 15 DE ENERO DEL 2022</v>
      </c>
      <c r="J7" s="215"/>
      <c r="K7" s="215"/>
      <c r="L7" s="215"/>
      <c r="M7" s="215"/>
      <c r="N7" s="215"/>
      <c r="O7" s="215"/>
      <c r="P7" s="215"/>
      <c r="Q7" s="215"/>
      <c r="R7" s="215"/>
    </row>
    <row r="8" spans="1:19" ht="18" x14ac:dyDescent="0.35">
      <c r="B8" s="22"/>
      <c r="C8" s="22"/>
      <c r="D8" s="22"/>
      <c r="E8" s="22"/>
      <c r="F8" s="22"/>
      <c r="G8" s="22"/>
      <c r="M8" s="176"/>
      <c r="N8" s="176"/>
      <c r="O8" s="176"/>
      <c r="P8" s="176"/>
      <c r="Q8" s="176"/>
      <c r="R8" s="176"/>
    </row>
    <row r="9" spans="1:19" ht="18" x14ac:dyDescent="0.35">
      <c r="I9" s="219" t="s">
        <v>315</v>
      </c>
      <c r="J9" s="219"/>
      <c r="K9" s="219"/>
      <c r="L9" s="219"/>
      <c r="M9" s="219"/>
      <c r="N9" s="219"/>
      <c r="O9" s="219"/>
      <c r="P9" s="219"/>
      <c r="Q9" s="219"/>
      <c r="R9" s="219"/>
    </row>
    <row r="10" spans="1:19" ht="15.6" x14ac:dyDescent="0.3">
      <c r="I10" s="21" t="s">
        <v>487</v>
      </c>
      <c r="J10" s="21" t="s">
        <v>488</v>
      </c>
      <c r="K10" s="185" t="s">
        <v>490</v>
      </c>
      <c r="L10" s="185" t="s">
        <v>489</v>
      </c>
      <c r="M10" s="220" t="s">
        <v>13</v>
      </c>
      <c r="N10" s="220"/>
      <c r="O10" s="220"/>
      <c r="P10" s="220"/>
      <c r="Q10" s="221" t="s">
        <v>309</v>
      </c>
      <c r="R10" s="221"/>
    </row>
    <row r="11" spans="1:19" ht="15.75" x14ac:dyDescent="0.25">
      <c r="I11" s="28">
        <v>1</v>
      </c>
      <c r="J11" s="28"/>
      <c r="K11" s="186"/>
      <c r="L11" s="28"/>
      <c r="M11" s="207" t="s">
        <v>101</v>
      </c>
      <c r="N11" s="207"/>
      <c r="O11" s="207"/>
      <c r="P11" s="207"/>
      <c r="Q11" s="205">
        <f>'PERSONAL ADMINISTRATIVO'!U214</f>
        <v>5531.51</v>
      </c>
      <c r="R11" s="205"/>
    </row>
    <row r="12" spans="1:19" ht="15.75" x14ac:dyDescent="0.25">
      <c r="I12" s="28">
        <v>2</v>
      </c>
      <c r="J12" s="28"/>
      <c r="K12" s="186"/>
      <c r="L12" s="188"/>
      <c r="M12" s="207" t="s">
        <v>335</v>
      </c>
      <c r="N12" s="207"/>
      <c r="O12" s="207"/>
      <c r="P12" s="207"/>
      <c r="Q12" s="205">
        <f>'PERSONAL ADMINISTRATIVO'!U307</f>
        <v>7048.1524160000008</v>
      </c>
      <c r="R12" s="205"/>
    </row>
    <row r="13" spans="1:19" ht="15.75" x14ac:dyDescent="0.25">
      <c r="I13" s="28">
        <v>3</v>
      </c>
      <c r="J13" s="28"/>
      <c r="K13" s="186"/>
      <c r="L13" s="28"/>
      <c r="M13" s="207" t="s">
        <v>269</v>
      </c>
      <c r="N13" s="207"/>
      <c r="O13" s="207"/>
      <c r="P13" s="207"/>
      <c r="Q13" s="205">
        <f>'PERSONAL ADMINISTRATIVO'!U331</f>
        <v>3360.0676000000003</v>
      </c>
      <c r="R13" s="205"/>
    </row>
    <row r="14" spans="1:19" ht="21" x14ac:dyDescent="0.35">
      <c r="A14" s="236" t="s">
        <v>312</v>
      </c>
      <c r="B14" s="237"/>
      <c r="C14" s="237"/>
      <c r="D14" s="237"/>
      <c r="E14" s="237"/>
      <c r="F14" s="237"/>
      <c r="G14" s="238"/>
      <c r="I14" s="28">
        <v>4</v>
      </c>
      <c r="J14" s="28"/>
      <c r="K14" s="186"/>
      <c r="L14" s="28"/>
      <c r="M14" s="208" t="s">
        <v>180</v>
      </c>
      <c r="N14" s="208"/>
      <c r="O14" s="208"/>
      <c r="P14" s="208"/>
      <c r="Q14" s="209">
        <f>'PERSONAL ADMINISTRATIVO'!U425</f>
        <v>3579.3900000000003</v>
      </c>
      <c r="R14" s="209"/>
    </row>
    <row r="15" spans="1:19" ht="31.15" customHeight="1" x14ac:dyDescent="0.25">
      <c r="A15" s="21" t="s">
        <v>310</v>
      </c>
      <c r="B15" s="241" t="s">
        <v>13</v>
      </c>
      <c r="C15" s="242"/>
      <c r="D15" s="242"/>
      <c r="E15" s="243"/>
      <c r="F15" s="239" t="s">
        <v>309</v>
      </c>
      <c r="G15" s="240"/>
      <c r="I15" s="28">
        <v>5</v>
      </c>
      <c r="J15" s="187"/>
      <c r="K15" s="186"/>
      <c r="L15" s="188"/>
      <c r="M15" s="206" t="s">
        <v>389</v>
      </c>
      <c r="N15" s="206"/>
      <c r="O15" s="206"/>
      <c r="P15" s="206"/>
      <c r="Q15" s="205">
        <f>'PERSONAL ADMINISTRATIVO'!U134</f>
        <v>2341.3260719999998</v>
      </c>
      <c r="R15" s="205"/>
    </row>
    <row r="16" spans="1:19" ht="15.6" x14ac:dyDescent="0.3">
      <c r="A16" s="19">
        <v>1</v>
      </c>
      <c r="B16" s="230" t="s">
        <v>313</v>
      </c>
      <c r="C16" s="231"/>
      <c r="D16" s="231"/>
      <c r="E16" s="232"/>
      <c r="F16" s="233">
        <v>1793.71</v>
      </c>
      <c r="G16" s="234"/>
      <c r="O16" s="210" t="s">
        <v>311</v>
      </c>
      <c r="P16" s="211"/>
      <c r="Q16" s="212">
        <f>SUM(Q11:R15)</f>
        <v>21860.446088000001</v>
      </c>
      <c r="R16" s="213"/>
      <c r="S16" s="27" t="e">
        <f>'PERSONAL ADMINISTRATIVO'!#REF!</f>
        <v>#REF!</v>
      </c>
    </row>
    <row r="17" spans="1:18" ht="15.6" x14ac:dyDescent="0.3">
      <c r="A17" s="19">
        <v>2</v>
      </c>
      <c r="B17" s="230" t="s">
        <v>314</v>
      </c>
      <c r="C17" s="231"/>
      <c r="D17" s="231"/>
      <c r="E17" s="232"/>
      <c r="F17" s="235">
        <v>1540.2</v>
      </c>
      <c r="G17" s="235"/>
    </row>
    <row r="18" spans="1:18" ht="15.75" x14ac:dyDescent="0.25">
      <c r="D18" s="222" t="s">
        <v>311</v>
      </c>
      <c r="E18" s="223"/>
      <c r="F18" s="224">
        <f>SUM(F16:G17)</f>
        <v>3333.91</v>
      </c>
      <c r="G18" s="225"/>
      <c r="H18" s="27"/>
    </row>
    <row r="19" spans="1:18" ht="15.75" x14ac:dyDescent="0.25">
      <c r="H19" s="18"/>
      <c r="I19" s="29"/>
      <c r="J19" s="29"/>
      <c r="K19" s="29"/>
      <c r="L19" s="29"/>
      <c r="M19" s="30"/>
      <c r="N19" s="30"/>
    </row>
    <row r="20" spans="1:18" ht="15.75" thickBot="1" x14ac:dyDescent="0.3">
      <c r="H20" s="27"/>
      <c r="M20" s="17"/>
      <c r="N20" s="17"/>
      <c r="O20" s="23"/>
      <c r="P20" s="24"/>
      <c r="Q20" s="203"/>
      <c r="R20" s="204"/>
    </row>
    <row r="21" spans="1:18" ht="21.75" thickBot="1" x14ac:dyDescent="0.4">
      <c r="D21" s="226" t="s">
        <v>311</v>
      </c>
      <c r="E21" s="227"/>
      <c r="F21" s="228">
        <f>F18+F12</f>
        <v>3333.91</v>
      </c>
      <c r="G21" s="229"/>
      <c r="H21" s="184" t="e">
        <f>'PERSONAL ADMINISTRATIVO'!#REF!</f>
        <v>#REF!</v>
      </c>
    </row>
  </sheetData>
  <mergeCells count="37">
    <mergeCell ref="D18:E18"/>
    <mergeCell ref="F18:G18"/>
    <mergeCell ref="D21:E21"/>
    <mergeCell ref="F21:G21"/>
    <mergeCell ref="B1:G2"/>
    <mergeCell ref="B3:G3"/>
    <mergeCell ref="B4:G4"/>
    <mergeCell ref="A6:G6"/>
    <mergeCell ref="A7:G7"/>
    <mergeCell ref="B16:E16"/>
    <mergeCell ref="F16:G16"/>
    <mergeCell ref="B17:E17"/>
    <mergeCell ref="F17:G17"/>
    <mergeCell ref="A14:G14"/>
    <mergeCell ref="F15:G15"/>
    <mergeCell ref="B15:E15"/>
    <mergeCell ref="M11:P11"/>
    <mergeCell ref="Q11:R11"/>
    <mergeCell ref="M12:P12"/>
    <mergeCell ref="Q12:R12"/>
    <mergeCell ref="I9:R9"/>
    <mergeCell ref="M10:P10"/>
    <mergeCell ref="Q10:R10"/>
    <mergeCell ref="I6:R6"/>
    <mergeCell ref="I7:R7"/>
    <mergeCell ref="I1:R2"/>
    <mergeCell ref="J3:R3"/>
    <mergeCell ref="I4:R4"/>
    <mergeCell ref="Q20:R20"/>
    <mergeCell ref="Q13:R13"/>
    <mergeCell ref="M15:P15"/>
    <mergeCell ref="Q15:R15"/>
    <mergeCell ref="M13:P13"/>
    <mergeCell ref="M14:P14"/>
    <mergeCell ref="Q14:R14"/>
    <mergeCell ref="O16:P16"/>
    <mergeCell ref="Q16:R16"/>
  </mergeCells>
  <pageMargins left="0.32" right="0.12" top="0.75" bottom="0.75" header="0.3" footer="0.3"/>
  <pageSetup paperSize="5" scale="80" orientation="landscape" horizontalDpi="150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Compu01</cp:lastModifiedBy>
  <cp:lastPrinted>2022-01-13T18:57:47Z</cp:lastPrinted>
  <dcterms:created xsi:type="dcterms:W3CDTF">2012-09-01T00:58:13Z</dcterms:created>
  <dcterms:modified xsi:type="dcterms:W3CDTF">2022-03-22T20:12:24Z</dcterms:modified>
</cp:coreProperties>
</file>